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omments5.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GNAS\Data\shared\Development\Projects\Active\UCC\01 Funding\CITY OH\Fall 2015 Application\Final Electronic Copy\"/>
    </mc:Choice>
  </mc:AlternateContent>
  <bookViews>
    <workbookView xWindow="480" yWindow="180" windowWidth="18195" windowHeight="12270" firstSheet="1" activeTab="2"/>
  </bookViews>
  <sheets>
    <sheet name="PopTypes_Dropdown" sheetId="29" state="hidden" r:id="rId1"/>
    <sheet name="Definitions" sheetId="33" r:id="rId2"/>
    <sheet name="1A" sheetId="1" r:id="rId3"/>
    <sheet name="1B - 4%" sheetId="2" r:id="rId4"/>
    <sheet name="1B - 9%" sheetId="43" r:id="rId5"/>
    <sheet name="2A - 4%" sheetId="3" r:id="rId6"/>
    <sheet name="2A - 9%" sheetId="44" r:id="rId7"/>
    <sheet name="2B- 4%" sheetId="4" r:id="rId8"/>
    <sheet name="2B- 9%" sheetId="45" r:id="rId9"/>
    <sheet name="2C - 4%" sheetId="41" r:id="rId10"/>
    <sheet name="ESDS-Lookup-Table" sheetId="42" state="hidden" r:id="rId11"/>
    <sheet name="2C - 9%" sheetId="64" r:id="rId12"/>
    <sheet name="3 - 4%" sheetId="6" r:id="rId13"/>
    <sheet name="3- 9%" sheetId="62" r:id="rId14"/>
    <sheet name="4" sheetId="7" r:id="rId15"/>
    <sheet name="5" sheetId="8" r:id="rId16"/>
    <sheet name="6A(ROLLUP)" sheetId="63" r:id="rId17"/>
    <sheet name="6A - 4%" sheetId="9" r:id="rId18"/>
    <sheet name="6B - 4%" sheetId="10" r:id="rId19"/>
    <sheet name="6C- 4%" sheetId="11" r:id="rId20"/>
    <sheet name="6D- 4%" sheetId="12" r:id="rId21"/>
    <sheet name="6E -4%" sheetId="13" r:id="rId22"/>
    <sheet name="6A - 9%" sheetId="51" r:id="rId23"/>
    <sheet name="6B- 9%" sheetId="52" r:id="rId24"/>
    <sheet name="6C -9%" sheetId="53" r:id="rId25"/>
    <sheet name="6D - 9%" sheetId="54" r:id="rId26"/>
    <sheet name="6E- 9%" sheetId="55" r:id="rId27"/>
    <sheet name="7A (ROLLUP)" sheetId="68" r:id="rId28"/>
    <sheet name="7A - 4%" sheetId="14" r:id="rId29"/>
    <sheet name="7A - 9%" sheetId="67" r:id="rId30"/>
    <sheet name="7B- 4%" sheetId="15" r:id="rId31"/>
    <sheet name="7B- 9% (2)" sheetId="73" r:id="rId32"/>
    <sheet name="8A - 4%" sheetId="16" r:id="rId33"/>
    <sheet name="8B - 4%" sheetId="69" r:id="rId34"/>
    <sheet name="8C - 4%" sheetId="18" r:id="rId35"/>
    <sheet name="8D - 4%" sheetId="19" r:id="rId36"/>
    <sheet name="8A - 9%" sheetId="57" r:id="rId37"/>
    <sheet name="8B - 9%" sheetId="17" r:id="rId38"/>
    <sheet name="8C - 9%" sheetId="70" r:id="rId39"/>
    <sheet name="8D - 9%" sheetId="71" r:id="rId40"/>
    <sheet name="8E ROLLUP" sheetId="65" r:id="rId41"/>
    <sheet name="8E- 4%" sheetId="20" r:id="rId42"/>
    <sheet name="8E 9%" sheetId="58" r:id="rId43"/>
    <sheet name="8E ROLLUP (2)" sheetId="66" r:id="rId44"/>
    <sheet name="8E(2)- 4%" sheetId="34" r:id="rId45"/>
    <sheet name="8E(2)- 9%" sheetId="59" r:id="rId46"/>
    <sheet name="8F" sheetId="21" r:id="rId47"/>
    <sheet name="9A" sheetId="22" r:id="rId48"/>
    <sheet name="9B" sheetId="23" r:id="rId49"/>
    <sheet name="9C" sheetId="24" r:id="rId50"/>
    <sheet name="9D" sheetId="25" r:id="rId51"/>
    <sheet name="9E" sheetId="26" r:id="rId52"/>
    <sheet name="11A - 9%" sheetId="27" r:id="rId53"/>
    <sheet name="11B- 4%" sheetId="28" r:id="rId54"/>
    <sheet name="HTF ROLLUP" sheetId="40" state="hidden" r:id="rId55"/>
    <sheet name="LIHTC_Dropdowns" sheetId="30" state="hidden" r:id="rId56"/>
  </sheets>
  <definedNames>
    <definedName name="_xlnm._FilterDatabase" localSheetId="10" hidden="1">'ESDS-Lookup-Table'!$A$1:$D$469</definedName>
    <definedName name="DevFees">LIHTC_Dropdowns!$F$189:$F$194</definedName>
    <definedName name="eligible_tribes">LIHTC_Dropdowns!$F$201:$F$214</definedName>
    <definedName name="federal_funding_sources">LIHTC_Dropdowns!$F$171:$F$177</definedName>
    <definedName name="higher_income">LIHTC_Dropdowns!$F$2:$F$16</definedName>
    <definedName name="Historic">LIHTC_Dropdowns!$F$197:$F$199</definedName>
    <definedName name="Homeless75">LIHTC_Dropdowns!$F$126:$F$127</definedName>
    <definedName name="in_within">LIHTC_Dropdowns!$F$229:$F$233</definedName>
    <definedName name="Inc_Higher">LIHTC_Dropdowns!$F$18:$F$38</definedName>
    <definedName name="Inc_Lower">LIHTC_Dropdowns!$F$69:$F$89</definedName>
    <definedName name="Inc_percent">LIHTC_Dropdowns!$F$91:$F$100</definedName>
    <definedName name="Incomes_4_Perc">LIHTC_Dropdowns!$B$11:$B$17</definedName>
    <definedName name="job_centers">LIHTC_Dropdowns!$F$235:$F$284</definedName>
    <definedName name="KC_HTF">LIHTC_Dropdowns!$F$179:$F$181</definedName>
    <definedName name="KC_only">LIHTC_Dropdowns!$F$221:$F$223</definedName>
    <definedName name="KC_OppArea">LIHTC_Dropdowns!$F$225:$F$227</definedName>
    <definedName name="leveraging_public_resources_10">LIHTC_Dropdowns!$B$65:$B$68</definedName>
    <definedName name="leveraging_taxable_bonds_7">LIHTC_Dropdowns!$B$70:$B$77</definedName>
    <definedName name="LIH_Commit">LIHTC_Dropdowns!$B$2:$B$8</definedName>
    <definedName name="LIH40percent">LIHTC_Dropdowns!$B$106:$B$107</definedName>
    <definedName name="LIH50percent">LIHTC_Dropdowns!$B$109:$B$113</definedName>
    <definedName name="LIH60percent">LIHTC_Dropdowns!$B$115:$B$120</definedName>
    <definedName name="local_funding_counties">LIHTC_Dropdowns!$F$140:$F$147</definedName>
    <definedName name="local_funding_sources">LIHTC_Dropdowns!$F$149:$F$161</definedName>
    <definedName name="local_funding_types">LIHTC_Dropdowns!$F$163:$F$169</definedName>
    <definedName name="Location_eff">LIHTC_Dropdowns!$F$216:$F$219</definedName>
    <definedName name="lower_income">LIHTC_Dropdowns!$F$40:$F$67</definedName>
    <definedName name="NP_Sponsor">LIHTC_Dropdowns!$F$286:$F$289</definedName>
    <definedName name="NP_Sponsor_4_Perc">LIHTC_Dropdowns!$B$101:$B$103</definedName>
    <definedName name="PBRA_units">LIHTC_Dropdowns!$F$183:$F$186</definedName>
    <definedName name="Population_Types">PopTypes_Dropdown!$B$3:$B$21</definedName>
    <definedName name="_xlnm.Print_Area" localSheetId="52">'11A - 9%'!$B$13:$O$163</definedName>
    <definedName name="_xlnm.Print_Area" localSheetId="53">'11B- 4%'!$B$13:$O$154</definedName>
    <definedName name="_xlnm.Print_Area" localSheetId="2">'1A'!$B$2:$Q$75</definedName>
    <definedName name="_xlnm.Print_Area" localSheetId="3">'1B - 4%'!$B$2:$M$27</definedName>
    <definedName name="_xlnm.Print_Area" localSheetId="4">'1B - 9%'!$B$2:$M$27</definedName>
    <definedName name="_xlnm.Print_Area" localSheetId="5">'2A - 4%'!$B$2:$N$25</definedName>
    <definedName name="_xlnm.Print_Area" localSheetId="6">'2A - 9%'!$B$2:$N$25</definedName>
    <definedName name="_xlnm.Print_Area" localSheetId="7">'2B- 4%'!$B$12:$P$37</definedName>
    <definedName name="_xlnm.Print_Area" localSheetId="8">'2B- 9%'!$B$12:$P$37</definedName>
    <definedName name="_xlnm.Print_Area" localSheetId="9">'2C - 4%'!$B$12:$J$144</definedName>
    <definedName name="_xlnm.Print_Area" localSheetId="11">'2C - 9%'!$B$12:$J$144</definedName>
    <definedName name="_xlnm.Print_Area" localSheetId="12">'3 - 4%'!$B$11:$I$46</definedName>
    <definedName name="_xlnm.Print_Area" localSheetId="13">'3- 9%'!$B$11:$I$46</definedName>
    <definedName name="_xlnm.Print_Area" localSheetId="14">'4'!$B$2:$H$29</definedName>
    <definedName name="_xlnm.Print_Area" localSheetId="15">'5'!$B$8:$H$78</definedName>
    <definedName name="_xlnm.Print_Area" localSheetId="17">'6A - 4%'!$B$10:$V$121</definedName>
    <definedName name="_xlnm.Print_Area" localSheetId="22">'6A - 9%'!$B$10:$W$121</definedName>
    <definedName name="_xlnm.Print_Area" localSheetId="16">'6A(ROLLUP)'!$B$6:$Q$116</definedName>
    <definedName name="_xlnm.Print_Area" localSheetId="18">'6B - 4%'!$B$6:$L$103</definedName>
    <definedName name="_xlnm.Print_Area" localSheetId="23">'6B- 9%'!$B$6:$L$103</definedName>
    <definedName name="_xlnm.Print_Area" localSheetId="19">'6C- 4%'!$B$10:$L$125</definedName>
    <definedName name="_xlnm.Print_Area" localSheetId="24">'6C -9%'!$B$10:$L$125</definedName>
    <definedName name="_xlnm.Print_Area" localSheetId="25">'6D - 9%'!$B$6:$H$55</definedName>
    <definedName name="_xlnm.Print_Area" localSheetId="20">'6D- 4%'!$B$6:$H$55</definedName>
    <definedName name="_xlnm.Print_Area" localSheetId="21">'6E -4%'!$B$2:$K$56</definedName>
    <definedName name="_xlnm.Print_Area" localSheetId="26">'6E- 9%'!$B$2:$K$56</definedName>
    <definedName name="_xlnm.Print_Area" localSheetId="28">'7A - 4%'!$B$8:$O$45</definedName>
    <definedName name="_xlnm.Print_Area" localSheetId="29">'7A - 9%'!$B$8:$O$45</definedName>
    <definedName name="_xlnm.Print_Area" localSheetId="27">'7A (ROLLUP)'!$B$8:$N$55</definedName>
    <definedName name="_xlnm.Print_Area" localSheetId="30">'7B- 4%'!$B$10:$N$111</definedName>
    <definedName name="_xlnm.Print_Area" localSheetId="31">'7B- 9% (2)'!$B$10:$N$111</definedName>
    <definedName name="_xlnm.Print_Area" localSheetId="32">'8A - 4%'!$B$2:$O$27</definedName>
    <definedName name="_xlnm.Print_Area" localSheetId="36">'8A - 9%'!$B$2:$O$27</definedName>
    <definedName name="_xlnm.Print_Area" localSheetId="33">'8B - 4%'!$B$6:$J$39</definedName>
    <definedName name="_xlnm.Print_Area" localSheetId="37">'8B - 9%'!$B$6:$J$39</definedName>
    <definedName name="_xlnm.Print_Area" localSheetId="34">'8C - 4%'!$B$8:$L$41</definedName>
    <definedName name="_xlnm.Print_Area" localSheetId="38">'8C - 9%'!$B$8:$L$41</definedName>
    <definedName name="_xlnm.Print_Area" localSheetId="35">'8D - 4%'!$B$12:$Q$52</definedName>
    <definedName name="_xlnm.Print_Area" localSheetId="39">'8D - 9%'!$B$12:$Q$52</definedName>
    <definedName name="_xlnm.Print_Area" localSheetId="41">'8E- 4%'!$B$18:$Q$179</definedName>
    <definedName name="_xlnm.Print_Area" localSheetId="42">'8E 9%'!$B$18:$Q$179</definedName>
    <definedName name="_xlnm.Print_Area" localSheetId="40">'8E ROLLUP'!$B$6:$Q$169</definedName>
    <definedName name="_xlnm.Print_Area" localSheetId="43">'8E ROLLUP (2)'!$B$6:$Q$169</definedName>
    <definedName name="_xlnm.Print_Area" localSheetId="44">'8E(2)- 4%'!$B$8:$Q$169</definedName>
    <definedName name="_xlnm.Print_Area" localSheetId="45">'8E(2)- 9%'!$B$8:$Q$169</definedName>
    <definedName name="_xlnm.Print_Area" localSheetId="46">'8F'!$B$7:$F$48</definedName>
    <definedName name="_xlnm.Print_Area" localSheetId="47">'9A'!$B$2:$I$81</definedName>
    <definedName name="_xlnm.Print_Area" localSheetId="48">'9B'!$B$7:$Y$36</definedName>
    <definedName name="_xlnm.Print_Area" localSheetId="49">'9C'!$B$12:$M$42</definedName>
    <definedName name="_xlnm.Print_Area" localSheetId="50">'9D'!$B$15:$L$47</definedName>
    <definedName name="_xlnm.Print_Area" localSheetId="51">'9E'!$B$7:$K$25</definedName>
    <definedName name="_xlnm.Print_Area" localSheetId="1">Definitions!$A$1:$L$44</definedName>
    <definedName name="_xlnm.Print_Titles" localSheetId="17">'6A - 4%'!$10:$18</definedName>
    <definedName name="_xlnm.Print_Titles" localSheetId="22">'6A - 9%'!$10:$18</definedName>
    <definedName name="_xlnm.Print_Titles" localSheetId="16">'6A(ROLLUP)'!$6:$13</definedName>
    <definedName name="_xlnm.Print_Titles" localSheetId="18">'6B - 4%'!$6:$14</definedName>
    <definedName name="_xlnm.Print_Titles" localSheetId="23">'6B- 9%'!$6:$14</definedName>
    <definedName name="_xlnm.Print_Titles" localSheetId="19">'6C- 4%'!$10:$21</definedName>
    <definedName name="_xlnm.Print_Titles" localSheetId="24">'6C -9%'!$10:$21</definedName>
    <definedName name="PriorityPopulations10">LIHTC_Dropdowns!$B$43:$B$46</definedName>
    <definedName name="PriorityPopulations20">LIHTC_Dropdowns!$B$48:$B$51</definedName>
    <definedName name="Project_Based_Rental_Assistance">LIHTC_Dropdowns!$B$58:$B$62</definedName>
    <definedName name="property_type_10">LIHTC_Dropdowns!$B$88:$B$92</definedName>
    <definedName name="senior_housing_10">LIHTC_Dropdowns!$B$53:$B$54</definedName>
    <definedName name="SpecNeeds20">LIHTC_Dropdowns!$F$130:$F$138</definedName>
    <definedName name="TDC_Limit">LIHTC_Dropdowns!$F$291:$F$292</definedName>
    <definedName name="Years">LIHTC_Dropdowns!$F$102:$F$124</definedName>
    <definedName name="Years_4_Perc">LIHTC_Dropdowns!$B$19:$B$41</definedName>
  </definedNames>
  <calcPr calcId="152511"/>
</workbook>
</file>

<file path=xl/calcChain.xml><?xml version="1.0" encoding="utf-8"?>
<calcChain xmlns="http://schemas.openxmlformats.org/spreadsheetml/2006/main">
  <c r="J22" i="34" l="1"/>
  <c r="P159" i="66" l="1"/>
  <c r="O159" i="66"/>
  <c r="N159" i="66"/>
  <c r="M159" i="66"/>
  <c r="L159" i="66"/>
  <c r="K159" i="66"/>
  <c r="J159" i="66"/>
  <c r="P158" i="66"/>
  <c r="O158" i="66"/>
  <c r="N158" i="66"/>
  <c r="M158" i="66"/>
  <c r="L158" i="66"/>
  <c r="K158" i="66"/>
  <c r="J158" i="66"/>
  <c r="I159" i="66"/>
  <c r="I158" i="66"/>
  <c r="J32" i="20" l="1"/>
  <c r="E22" i="4" l="1"/>
  <c r="H26" i="55" l="1"/>
  <c r="J25" i="10" l="1"/>
  <c r="J37" i="10" s="1"/>
  <c r="E40" i="21"/>
  <c r="E42" i="21" s="1"/>
  <c r="E39" i="21"/>
  <c r="E26" i="21"/>
  <c r="E28" i="21" s="1"/>
  <c r="E31" i="21" s="1"/>
  <c r="E32" i="21" s="1"/>
  <c r="E33" i="21" s="1"/>
  <c r="E34" i="21" s="1"/>
  <c r="E35" i="21" s="1"/>
  <c r="E36" i="21" s="1"/>
  <c r="E41" i="21" s="1"/>
  <c r="E30" i="21" l="1"/>
  <c r="J36" i="59" l="1"/>
  <c r="J38" i="59"/>
  <c r="J39" i="59"/>
  <c r="J40" i="59"/>
  <c r="J41" i="59"/>
  <c r="J42" i="59"/>
  <c r="J43" i="59"/>
  <c r="J44" i="59"/>
  <c r="J45" i="59"/>
  <c r="J46" i="59"/>
  <c r="J47" i="59"/>
  <c r="J48" i="59"/>
  <c r="J49" i="59"/>
  <c r="J50" i="59"/>
  <c r="J51" i="59"/>
  <c r="J52" i="59"/>
  <c r="J53" i="59"/>
  <c r="J54" i="59"/>
  <c r="K72" i="34"/>
  <c r="L72" i="34" s="1"/>
  <c r="M72" i="34" s="1"/>
  <c r="N72" i="34" s="1"/>
  <c r="O72" i="34" s="1"/>
  <c r="P72" i="34" s="1"/>
  <c r="L72" i="59"/>
  <c r="M72" i="59" s="1"/>
  <c r="N72" i="59" s="1"/>
  <c r="O72" i="59" s="1"/>
  <c r="P72" i="59" s="1"/>
  <c r="I153" i="59" s="1"/>
  <c r="K72" i="59"/>
  <c r="I157" i="66" l="1"/>
  <c r="J153" i="59"/>
  <c r="N103" i="9"/>
  <c r="J157" i="66" l="1"/>
  <c r="K153" i="59"/>
  <c r="L30" i="68"/>
  <c r="J30" i="68"/>
  <c r="L29" i="68"/>
  <c r="J29" i="68"/>
  <c r="E29" i="68"/>
  <c r="C29" i="68"/>
  <c r="F20" i="7"/>
  <c r="L153" i="59" l="1"/>
  <c r="K157" i="66"/>
  <c r="G10" i="7"/>
  <c r="E88" i="73"/>
  <c r="C35" i="73"/>
  <c r="C87" i="73" s="1"/>
  <c r="C34" i="73"/>
  <c r="C86" i="73" s="1"/>
  <c r="E36" i="15"/>
  <c r="F30" i="67"/>
  <c r="E30" i="67"/>
  <c r="O116" i="51"/>
  <c r="O105" i="51"/>
  <c r="O91" i="51"/>
  <c r="O85" i="51"/>
  <c r="O66" i="51"/>
  <c r="O74" i="51"/>
  <c r="O61" i="51"/>
  <c r="O45" i="51"/>
  <c r="O26" i="51"/>
  <c r="M84" i="73"/>
  <c r="C32" i="73"/>
  <c r="C84" i="73" s="1"/>
  <c r="C31" i="73"/>
  <c r="C83" i="73" s="1"/>
  <c r="C30" i="73"/>
  <c r="C82" i="73" s="1"/>
  <c r="M84" i="15"/>
  <c r="C84" i="15"/>
  <c r="C35" i="15"/>
  <c r="C34" i="15"/>
  <c r="C32" i="15"/>
  <c r="C31" i="15"/>
  <c r="C30" i="15"/>
  <c r="C29" i="73"/>
  <c r="C81" i="73" s="1"/>
  <c r="C28" i="73"/>
  <c r="C80" i="73" s="1"/>
  <c r="C27" i="73"/>
  <c r="C79" i="73" s="1"/>
  <c r="C23" i="73"/>
  <c r="C75" i="73" s="1"/>
  <c r="C22" i="73"/>
  <c r="C74" i="73" s="1"/>
  <c r="C21" i="73"/>
  <c r="C73" i="73" s="1"/>
  <c r="L102" i="73"/>
  <c r="K102" i="73"/>
  <c r="J102" i="73"/>
  <c r="I102" i="73"/>
  <c r="H102" i="73"/>
  <c r="G102" i="73"/>
  <c r="F102" i="73"/>
  <c r="E102" i="73"/>
  <c r="M100" i="73"/>
  <c r="M99" i="73"/>
  <c r="M98" i="73"/>
  <c r="M97" i="73"/>
  <c r="M96" i="73"/>
  <c r="M95" i="73"/>
  <c r="M94" i="73"/>
  <c r="M93" i="73"/>
  <c r="L88" i="73"/>
  <c r="K88" i="73"/>
  <c r="J88" i="73"/>
  <c r="I88" i="73"/>
  <c r="H88" i="73"/>
  <c r="G88" i="73"/>
  <c r="F88" i="73"/>
  <c r="F90" i="73" s="1"/>
  <c r="F104" i="73" s="1"/>
  <c r="M87" i="73"/>
  <c r="M86" i="73"/>
  <c r="M85" i="73"/>
  <c r="M83" i="73"/>
  <c r="M82" i="73"/>
  <c r="M81" i="73"/>
  <c r="M80" i="73"/>
  <c r="M79" i="73"/>
  <c r="L76" i="73"/>
  <c r="L90" i="73" s="1"/>
  <c r="L104" i="73" s="1"/>
  <c r="K76" i="73"/>
  <c r="J76" i="73"/>
  <c r="I76" i="73"/>
  <c r="I90" i="73" s="1"/>
  <c r="I104" i="73" s="1"/>
  <c r="H76" i="73"/>
  <c r="G76" i="73"/>
  <c r="F76" i="73"/>
  <c r="E76" i="73"/>
  <c r="M75" i="73"/>
  <c r="M74" i="73"/>
  <c r="M73" i="73"/>
  <c r="M72" i="73"/>
  <c r="C72" i="73"/>
  <c r="D67" i="73"/>
  <c r="D65" i="73"/>
  <c r="L50" i="73"/>
  <c r="K50" i="73"/>
  <c r="J50" i="73"/>
  <c r="I50" i="73"/>
  <c r="H50" i="73"/>
  <c r="G50" i="73"/>
  <c r="F50" i="73"/>
  <c r="E50" i="73"/>
  <c r="L36" i="73"/>
  <c r="K36" i="73"/>
  <c r="J36" i="73"/>
  <c r="I36" i="73"/>
  <c r="H36" i="73"/>
  <c r="G36" i="73"/>
  <c r="F36" i="73"/>
  <c r="E36" i="73"/>
  <c r="L24" i="73"/>
  <c r="K24" i="73"/>
  <c r="J24" i="73"/>
  <c r="I24" i="73"/>
  <c r="I38" i="73" s="1"/>
  <c r="I52" i="73" s="1"/>
  <c r="H24" i="73"/>
  <c r="G24" i="73"/>
  <c r="G38" i="73" s="1"/>
  <c r="G52" i="73" s="1"/>
  <c r="F24" i="73"/>
  <c r="E24" i="73"/>
  <c r="D13" i="73"/>
  <c r="H90" i="73" l="1"/>
  <c r="H104" i="73" s="1"/>
  <c r="J90" i="73"/>
  <c r="J104" i="73" s="1"/>
  <c r="M153" i="59"/>
  <c r="L157" i="66"/>
  <c r="E38" i="73"/>
  <c r="E52" i="73" s="1"/>
  <c r="J38" i="73"/>
  <c r="J52" i="73" s="1"/>
  <c r="F38" i="73"/>
  <c r="F52" i="73" s="1"/>
  <c r="L38" i="73"/>
  <c r="L52" i="73" s="1"/>
  <c r="H38" i="73"/>
  <c r="H52" i="73" s="1"/>
  <c r="O119" i="51"/>
  <c r="K90" i="73"/>
  <c r="K104" i="73" s="1"/>
  <c r="M102" i="73"/>
  <c r="G90" i="73"/>
  <c r="G104" i="73" s="1"/>
  <c r="E90" i="73"/>
  <c r="E104" i="73" s="1"/>
  <c r="M76" i="73"/>
  <c r="M88" i="73"/>
  <c r="K38" i="73"/>
  <c r="K52" i="73" s="1"/>
  <c r="N153" i="59" l="1"/>
  <c r="M157" i="66"/>
  <c r="M90" i="73"/>
  <c r="M104" i="73" s="1"/>
  <c r="N132" i="20"/>
  <c r="K91" i="20"/>
  <c r="L91" i="20" s="1"/>
  <c r="M91" i="20" s="1"/>
  <c r="N91" i="20" s="1"/>
  <c r="O91" i="20" s="1"/>
  <c r="P91" i="20" s="1"/>
  <c r="I172" i="20" s="1"/>
  <c r="J172" i="20" s="1"/>
  <c r="K172" i="20" s="1"/>
  <c r="L172" i="20" s="1"/>
  <c r="M172" i="20" s="1"/>
  <c r="J66" i="20"/>
  <c r="J66" i="58"/>
  <c r="J56" i="59" s="1"/>
  <c r="O153" i="59" l="1"/>
  <c r="N157" i="66"/>
  <c r="K82" i="58"/>
  <c r="L82" i="58" s="1"/>
  <c r="M82" i="58" s="1"/>
  <c r="N82" i="58" s="1"/>
  <c r="O82" i="58" s="1"/>
  <c r="P82" i="58" s="1"/>
  <c r="I163" i="58" s="1"/>
  <c r="J163" i="58" s="1"/>
  <c r="K163" i="58" s="1"/>
  <c r="L163" i="58" s="1"/>
  <c r="M163" i="58" s="1"/>
  <c r="N163" i="58" s="1"/>
  <c r="O163" i="58" s="1"/>
  <c r="P163" i="58" s="1"/>
  <c r="I153" i="34"/>
  <c r="J153" i="34" s="1"/>
  <c r="K153" i="34" s="1"/>
  <c r="L153" i="34" s="1"/>
  <c r="M153" i="34" s="1"/>
  <c r="N153" i="34" s="1"/>
  <c r="O153" i="34" s="1"/>
  <c r="P153" i="34" s="1"/>
  <c r="K82" i="20"/>
  <c r="L82" i="20" s="1"/>
  <c r="M82" i="20" s="1"/>
  <c r="N82" i="20" s="1"/>
  <c r="O82" i="20" s="1"/>
  <c r="P82" i="20" s="1"/>
  <c r="I163" i="20" s="1"/>
  <c r="J163" i="20" s="1"/>
  <c r="K163" i="20" s="1"/>
  <c r="L163" i="20" s="1"/>
  <c r="M163" i="20" s="1"/>
  <c r="N163" i="20" s="1"/>
  <c r="O163" i="20" s="1"/>
  <c r="P163" i="20" s="1"/>
  <c r="P153" i="59" l="1"/>
  <c r="P157" i="66" s="1"/>
  <c r="O157" i="66"/>
  <c r="J22" i="59"/>
  <c r="J21" i="59"/>
  <c r="F35" i="17"/>
  <c r="J32" i="58"/>
  <c r="J31" i="58"/>
  <c r="F20" i="70"/>
  <c r="F20" i="18"/>
  <c r="E16" i="7" l="1"/>
  <c r="E22" i="45"/>
  <c r="I22" i="45"/>
  <c r="I22" i="4" l="1"/>
  <c r="N9" i="66" l="1"/>
  <c r="N9" i="65"/>
  <c r="K15" i="68"/>
  <c r="D15" i="68"/>
  <c r="J35" i="20"/>
  <c r="J30" i="20"/>
  <c r="D17" i="19"/>
  <c r="D13" i="18"/>
  <c r="D17" i="71"/>
  <c r="D13" i="70"/>
  <c r="P30" i="71"/>
  <c r="P44" i="71" s="1"/>
  <c r="O30" i="71"/>
  <c r="O44" i="71" s="1"/>
  <c r="N30" i="71"/>
  <c r="N44" i="71" s="1"/>
  <c r="M30" i="71"/>
  <c r="M44" i="71" s="1"/>
  <c r="H29" i="71"/>
  <c r="J29" i="71" s="1"/>
  <c r="K29" i="71" s="1"/>
  <c r="H28" i="71"/>
  <c r="H27" i="71"/>
  <c r="J27" i="71" s="1"/>
  <c r="H26" i="71"/>
  <c r="J26" i="71" s="1"/>
  <c r="K26" i="71" s="1"/>
  <c r="H25" i="71"/>
  <c r="J25" i="71" s="1"/>
  <c r="K25" i="71" s="1"/>
  <c r="H24" i="71"/>
  <c r="H23" i="71"/>
  <c r="J23" i="71" s="1"/>
  <c r="H22" i="71"/>
  <c r="J22" i="71" s="1"/>
  <c r="K22" i="71" s="1"/>
  <c r="H21" i="71"/>
  <c r="J21" i="71" s="1"/>
  <c r="K21" i="71" s="1"/>
  <c r="P20" i="71"/>
  <c r="P32" i="71" s="1"/>
  <c r="O20" i="71"/>
  <c r="O32" i="71" s="1"/>
  <c r="N20" i="71"/>
  <c r="N32" i="71" s="1"/>
  <c r="D15" i="71"/>
  <c r="H30" i="70"/>
  <c r="J30" i="70" s="1"/>
  <c r="K30" i="70" s="1"/>
  <c r="H29" i="70"/>
  <c r="H28" i="70"/>
  <c r="H27" i="70"/>
  <c r="J27" i="70" s="1"/>
  <c r="K27" i="70" s="1"/>
  <c r="H26" i="70"/>
  <c r="J26" i="70" s="1"/>
  <c r="K26" i="70" s="1"/>
  <c r="H21" i="70"/>
  <c r="J21" i="70" s="1"/>
  <c r="K21" i="70" s="1"/>
  <c r="H20" i="70"/>
  <c r="H19" i="70"/>
  <c r="H18" i="70"/>
  <c r="J18" i="70" s="1"/>
  <c r="K18" i="70" s="1"/>
  <c r="H17" i="70"/>
  <c r="J17" i="70" s="1"/>
  <c r="K17" i="70" s="1"/>
  <c r="D11" i="70"/>
  <c r="D11" i="17"/>
  <c r="D11" i="69"/>
  <c r="G38" i="69"/>
  <c r="F38" i="69"/>
  <c r="H37" i="69"/>
  <c r="H36" i="69"/>
  <c r="H35" i="69"/>
  <c r="G30" i="69"/>
  <c r="F30" i="69"/>
  <c r="H29" i="69"/>
  <c r="H28" i="69"/>
  <c r="H27" i="69"/>
  <c r="H26" i="69"/>
  <c r="H25" i="69"/>
  <c r="G20" i="69"/>
  <c r="F20" i="69"/>
  <c r="H19" i="69"/>
  <c r="H18" i="69"/>
  <c r="H17" i="69"/>
  <c r="H16" i="69"/>
  <c r="D9" i="69"/>
  <c r="H20" i="69" l="1"/>
  <c r="H38" i="69"/>
  <c r="J25" i="34" s="1"/>
  <c r="J24" i="71"/>
  <c r="K24" i="71" s="1"/>
  <c r="K23" i="71"/>
  <c r="K27" i="71"/>
  <c r="J28" i="71"/>
  <c r="K28" i="71" s="1"/>
  <c r="J20" i="70"/>
  <c r="K20" i="70" s="1"/>
  <c r="J29" i="70"/>
  <c r="K29" i="70" s="1"/>
  <c r="J19" i="70"/>
  <c r="K19" i="70" s="1"/>
  <c r="J28" i="70"/>
  <c r="K28" i="70" s="1"/>
  <c r="H30" i="69"/>
  <c r="J20" i="34" s="1"/>
  <c r="J38" i="68"/>
  <c r="K31" i="70" l="1"/>
  <c r="K30" i="71"/>
  <c r="K44" i="71" s="1"/>
  <c r="K22" i="70"/>
  <c r="M39" i="68"/>
  <c r="L39" i="68"/>
  <c r="M38" i="68"/>
  <c r="L38" i="68"/>
  <c r="F39" i="68"/>
  <c r="E39" i="68"/>
  <c r="F38" i="68"/>
  <c r="E38" i="68"/>
  <c r="J39" i="68"/>
  <c r="C39" i="68"/>
  <c r="C38" i="68"/>
  <c r="J31" i="68"/>
  <c r="J28" i="68"/>
  <c r="J27" i="68"/>
  <c r="J26" i="68"/>
  <c r="C31" i="68"/>
  <c r="C30" i="68"/>
  <c r="C28" i="68"/>
  <c r="C27" i="68"/>
  <c r="C26" i="68"/>
  <c r="J21" i="68"/>
  <c r="J20" i="68"/>
  <c r="J19" i="68"/>
  <c r="C21" i="68"/>
  <c r="C20" i="68"/>
  <c r="C19" i="68"/>
  <c r="L31" i="68"/>
  <c r="L28" i="68"/>
  <c r="L27" i="68"/>
  <c r="L26" i="68"/>
  <c r="E31" i="68"/>
  <c r="E30" i="68"/>
  <c r="E28" i="68"/>
  <c r="E27" i="68"/>
  <c r="E26" i="68"/>
  <c r="E32" i="68" s="1"/>
  <c r="L21" i="68"/>
  <c r="L20" i="68"/>
  <c r="L19" i="68"/>
  <c r="E21" i="68"/>
  <c r="E20" i="68"/>
  <c r="E19" i="68"/>
  <c r="M32" i="68"/>
  <c r="M22" i="68"/>
  <c r="F32" i="68"/>
  <c r="F22" i="68"/>
  <c r="D11" i="68"/>
  <c r="F42" i="67"/>
  <c r="E42" i="67"/>
  <c r="F18" i="67"/>
  <c r="E18" i="67"/>
  <c r="D11" i="67"/>
  <c r="K33" i="70" l="1"/>
  <c r="J46" i="58"/>
  <c r="F32" i="67"/>
  <c r="G38" i="54" s="1"/>
  <c r="J73" i="58"/>
  <c r="F45" i="68"/>
  <c r="F47" i="68"/>
  <c r="F46" i="68" s="1"/>
  <c r="L22" i="68"/>
  <c r="L32" i="68"/>
  <c r="M40" i="68"/>
  <c r="E22" i="68"/>
  <c r="E40" i="68"/>
  <c r="L40" i="68"/>
  <c r="F40" i="68"/>
  <c r="F44" i="67"/>
  <c r="F20" i="67"/>
  <c r="G9" i="7"/>
  <c r="G19" i="7"/>
  <c r="G18" i="7"/>
  <c r="G17" i="7"/>
  <c r="G16" i="7"/>
  <c r="G15" i="7"/>
  <c r="G14" i="7"/>
  <c r="G13" i="7"/>
  <c r="G12" i="7"/>
  <c r="G11" i="7"/>
  <c r="G20" i="7" l="1"/>
  <c r="E47" i="68"/>
  <c r="F50" i="68"/>
  <c r="F53" i="68" s="1"/>
  <c r="E45" i="68"/>
  <c r="E50" i="68"/>
  <c r="F11" i="63" l="1"/>
  <c r="N11" i="65"/>
  <c r="P154" i="66"/>
  <c r="O154" i="66"/>
  <c r="N154" i="66"/>
  <c r="M154" i="66"/>
  <c r="L154" i="66"/>
  <c r="K154" i="66"/>
  <c r="J154" i="66"/>
  <c r="I154" i="66"/>
  <c r="P153" i="66"/>
  <c r="O153" i="66"/>
  <c r="N153" i="66"/>
  <c r="M153" i="66"/>
  <c r="L153" i="66"/>
  <c r="K153" i="66"/>
  <c r="J153" i="66"/>
  <c r="I153" i="66"/>
  <c r="P152" i="66"/>
  <c r="O152" i="66"/>
  <c r="N152" i="66"/>
  <c r="M152" i="66"/>
  <c r="L152" i="66"/>
  <c r="L160" i="66" s="1"/>
  <c r="K152" i="66"/>
  <c r="J152" i="66"/>
  <c r="J160" i="66" s="1"/>
  <c r="I152" i="66"/>
  <c r="P77" i="66"/>
  <c r="O77" i="66"/>
  <c r="N77" i="66"/>
  <c r="M77" i="66"/>
  <c r="L77" i="66"/>
  <c r="L78" i="66" s="1"/>
  <c r="K77" i="66"/>
  <c r="J77" i="66"/>
  <c r="P76" i="66"/>
  <c r="O76" i="66"/>
  <c r="N76" i="66"/>
  <c r="M76" i="66"/>
  <c r="L76" i="66"/>
  <c r="K76" i="66"/>
  <c r="J76" i="66"/>
  <c r="P75" i="66"/>
  <c r="O75" i="66"/>
  <c r="N75" i="66"/>
  <c r="M75" i="66"/>
  <c r="L75" i="66"/>
  <c r="K75" i="66"/>
  <c r="J75" i="66"/>
  <c r="P72" i="66"/>
  <c r="O72" i="66"/>
  <c r="N72" i="66"/>
  <c r="M72" i="66"/>
  <c r="L72" i="66"/>
  <c r="K72" i="66"/>
  <c r="J72" i="66"/>
  <c r="P71" i="66"/>
  <c r="O71" i="66"/>
  <c r="N71" i="66"/>
  <c r="M71" i="66"/>
  <c r="L71" i="66"/>
  <c r="K71" i="66"/>
  <c r="J71" i="66"/>
  <c r="P70" i="66"/>
  <c r="O70" i="66"/>
  <c r="N70" i="66"/>
  <c r="M70" i="66"/>
  <c r="L70" i="66"/>
  <c r="K70" i="66"/>
  <c r="J70" i="66"/>
  <c r="H77" i="66"/>
  <c r="H76" i="66"/>
  <c r="H75" i="66"/>
  <c r="H72" i="66"/>
  <c r="H71" i="66"/>
  <c r="H70" i="66"/>
  <c r="C76" i="66"/>
  <c r="C75" i="66"/>
  <c r="P107" i="66"/>
  <c r="O107" i="66"/>
  <c r="N107" i="66"/>
  <c r="N111" i="66" s="1"/>
  <c r="M107" i="66"/>
  <c r="M111" i="66" s="1"/>
  <c r="L107" i="66"/>
  <c r="K107" i="66"/>
  <c r="J107" i="66"/>
  <c r="I107" i="66"/>
  <c r="P105" i="66"/>
  <c r="O105" i="66"/>
  <c r="N105" i="66"/>
  <c r="M105" i="66"/>
  <c r="L105" i="66"/>
  <c r="K105" i="66"/>
  <c r="J105" i="66"/>
  <c r="I105" i="66"/>
  <c r="P100" i="66"/>
  <c r="O100" i="66"/>
  <c r="N100" i="66"/>
  <c r="M100" i="66"/>
  <c r="L100" i="66"/>
  <c r="K100" i="66"/>
  <c r="J100" i="66"/>
  <c r="I100" i="66"/>
  <c r="P99" i="66"/>
  <c r="O99" i="66"/>
  <c r="N99" i="66"/>
  <c r="M99" i="66"/>
  <c r="L99" i="66"/>
  <c r="K99" i="66"/>
  <c r="J99" i="66"/>
  <c r="I99" i="66"/>
  <c r="P25" i="66"/>
  <c r="O25" i="66"/>
  <c r="O29" i="66" s="1"/>
  <c r="N25" i="66"/>
  <c r="N29" i="66" s="1"/>
  <c r="M25" i="66"/>
  <c r="M29" i="66" s="1"/>
  <c r="L25" i="66"/>
  <c r="K25" i="66"/>
  <c r="K29" i="66" s="1"/>
  <c r="J25" i="66"/>
  <c r="P23" i="66"/>
  <c r="O23" i="66"/>
  <c r="N23" i="66"/>
  <c r="M23" i="66"/>
  <c r="L23" i="66"/>
  <c r="K23" i="66"/>
  <c r="J20" i="66"/>
  <c r="J19" i="66"/>
  <c r="P18" i="66"/>
  <c r="O18" i="66"/>
  <c r="N18" i="66"/>
  <c r="M18" i="66"/>
  <c r="L18" i="66"/>
  <c r="K18" i="66"/>
  <c r="P77" i="65"/>
  <c r="O77" i="65"/>
  <c r="N77" i="65"/>
  <c r="M77" i="65"/>
  <c r="L77" i="65"/>
  <c r="K77" i="65"/>
  <c r="J77" i="65"/>
  <c r="P76" i="65"/>
  <c r="O76" i="65"/>
  <c r="N76" i="65"/>
  <c r="M76" i="65"/>
  <c r="L76" i="65"/>
  <c r="K76" i="65"/>
  <c r="J76" i="65"/>
  <c r="P75" i="65"/>
  <c r="O75" i="65"/>
  <c r="N75" i="65"/>
  <c r="M75" i="65"/>
  <c r="L75" i="65"/>
  <c r="K75" i="65"/>
  <c r="J75" i="65"/>
  <c r="H77" i="65"/>
  <c r="H76" i="65"/>
  <c r="H75" i="65"/>
  <c r="H72" i="65"/>
  <c r="H71" i="65"/>
  <c r="H70" i="65"/>
  <c r="C75" i="65"/>
  <c r="C76" i="65"/>
  <c r="C70" i="65"/>
  <c r="C71" i="65"/>
  <c r="P154" i="65"/>
  <c r="O154" i="65"/>
  <c r="N154" i="65"/>
  <c r="M154" i="65"/>
  <c r="L154" i="65"/>
  <c r="K154" i="65"/>
  <c r="J154" i="65"/>
  <c r="I154" i="65"/>
  <c r="P153" i="65"/>
  <c r="O153" i="65"/>
  <c r="N153" i="65"/>
  <c r="M153" i="65"/>
  <c r="L153" i="65"/>
  <c r="K153" i="65"/>
  <c r="J153" i="65"/>
  <c r="I153" i="65"/>
  <c r="P152" i="65"/>
  <c r="O152" i="65"/>
  <c r="N152" i="65"/>
  <c r="M152" i="65"/>
  <c r="L152" i="65"/>
  <c r="K152" i="65"/>
  <c r="J152" i="65"/>
  <c r="P159" i="65"/>
  <c r="O159" i="65"/>
  <c r="N159" i="65"/>
  <c r="M159" i="65"/>
  <c r="L159" i="65"/>
  <c r="K159" i="65"/>
  <c r="J159" i="65"/>
  <c r="I159" i="65"/>
  <c r="P158" i="65"/>
  <c r="O158" i="65"/>
  <c r="N158" i="65"/>
  <c r="M158" i="65"/>
  <c r="L158" i="65"/>
  <c r="K158" i="65"/>
  <c r="J158" i="65"/>
  <c r="I158" i="65"/>
  <c r="P157" i="65"/>
  <c r="O157" i="65"/>
  <c r="N157" i="65"/>
  <c r="M157" i="65"/>
  <c r="L157" i="65"/>
  <c r="K157" i="65"/>
  <c r="J157" i="65"/>
  <c r="I157" i="65"/>
  <c r="I152" i="65"/>
  <c r="P107" i="65"/>
  <c r="P111" i="65" s="1"/>
  <c r="O107" i="65"/>
  <c r="N107" i="65"/>
  <c r="N111" i="65" s="1"/>
  <c r="M107" i="65"/>
  <c r="M111" i="65" s="1"/>
  <c r="L107" i="65"/>
  <c r="L111" i="65" s="1"/>
  <c r="K107" i="65"/>
  <c r="J107" i="65"/>
  <c r="J111" i="65" s="1"/>
  <c r="I107" i="65"/>
  <c r="I111" i="65" s="1"/>
  <c r="P100" i="65"/>
  <c r="O100" i="65"/>
  <c r="N100" i="65"/>
  <c r="M100" i="65"/>
  <c r="L100" i="65"/>
  <c r="K100" i="65"/>
  <c r="J100" i="65"/>
  <c r="I100" i="65"/>
  <c r="P72" i="65"/>
  <c r="O72" i="65"/>
  <c r="N72" i="65"/>
  <c r="M72" i="65"/>
  <c r="L72" i="65"/>
  <c r="K72" i="65"/>
  <c r="J72" i="65"/>
  <c r="P71" i="65"/>
  <c r="O71" i="65"/>
  <c r="N71" i="65"/>
  <c r="M71" i="65"/>
  <c r="L71" i="65"/>
  <c r="K71" i="65"/>
  <c r="J71" i="65"/>
  <c r="P70" i="65"/>
  <c r="O70" i="65"/>
  <c r="N70" i="65"/>
  <c r="M70" i="65"/>
  <c r="L70" i="65"/>
  <c r="K70" i="65"/>
  <c r="J70" i="65"/>
  <c r="J63" i="65"/>
  <c r="J58" i="65"/>
  <c r="J57" i="65"/>
  <c r="J54" i="65"/>
  <c r="J53" i="65"/>
  <c r="J52" i="65"/>
  <c r="J51" i="65"/>
  <c r="J50" i="65"/>
  <c r="J49" i="65"/>
  <c r="J48" i="65"/>
  <c r="J47" i="65"/>
  <c r="J46" i="65"/>
  <c r="J45" i="65"/>
  <c r="J44" i="65"/>
  <c r="J43" i="65"/>
  <c r="J42" i="65"/>
  <c r="J41" i="65"/>
  <c r="J40" i="65"/>
  <c r="J39" i="65"/>
  <c r="J38" i="65"/>
  <c r="J37" i="65"/>
  <c r="J36" i="65"/>
  <c r="P25" i="65"/>
  <c r="P29" i="65" s="1"/>
  <c r="O25" i="65"/>
  <c r="O29" i="65" s="1"/>
  <c r="N25" i="65"/>
  <c r="N29" i="65" s="1"/>
  <c r="M25" i="65"/>
  <c r="M29" i="65" s="1"/>
  <c r="L25" i="65"/>
  <c r="L29" i="65" s="1"/>
  <c r="K25" i="65"/>
  <c r="K29" i="65" s="1"/>
  <c r="J25" i="65"/>
  <c r="J29" i="65" s="1"/>
  <c r="J20" i="65"/>
  <c r="J19" i="65"/>
  <c r="P18" i="65"/>
  <c r="O18" i="65"/>
  <c r="N18" i="65"/>
  <c r="M18" i="65"/>
  <c r="L18" i="65"/>
  <c r="K18" i="65"/>
  <c r="P160" i="66"/>
  <c r="O160" i="66"/>
  <c r="N160" i="66"/>
  <c r="M160" i="66"/>
  <c r="I160" i="66"/>
  <c r="C153" i="66"/>
  <c r="C152" i="66"/>
  <c r="P111" i="66"/>
  <c r="O111" i="66"/>
  <c r="L111" i="66"/>
  <c r="K111" i="66"/>
  <c r="J111" i="66"/>
  <c r="I111" i="66"/>
  <c r="D102" i="66"/>
  <c r="D101" i="66"/>
  <c r="D93" i="66"/>
  <c r="D91" i="66"/>
  <c r="M78" i="66"/>
  <c r="K78" i="66"/>
  <c r="P29" i="66"/>
  <c r="L29" i="66"/>
  <c r="J29" i="66"/>
  <c r="D11" i="66"/>
  <c r="D9" i="66"/>
  <c r="O111" i="65"/>
  <c r="K111" i="65"/>
  <c r="D102" i="65"/>
  <c r="D101" i="65"/>
  <c r="D93" i="65"/>
  <c r="D91" i="65"/>
  <c r="D11" i="65"/>
  <c r="D9" i="65"/>
  <c r="D13" i="59"/>
  <c r="D23" i="58"/>
  <c r="D13" i="34"/>
  <c r="D23" i="20"/>
  <c r="D7" i="57"/>
  <c r="D7" i="16"/>
  <c r="D65" i="15"/>
  <c r="E7" i="55"/>
  <c r="E11" i="54"/>
  <c r="F15" i="53"/>
  <c r="F11" i="52"/>
  <c r="N13" i="51"/>
  <c r="E7" i="13"/>
  <c r="E11" i="12"/>
  <c r="F15" i="11"/>
  <c r="F11" i="10"/>
  <c r="N13" i="9"/>
  <c r="N11" i="63"/>
  <c r="K11" i="63"/>
  <c r="D16" i="62"/>
  <c r="D16" i="6"/>
  <c r="D17" i="64"/>
  <c r="D17" i="41"/>
  <c r="I132" i="64"/>
  <c r="G132" i="64" a="1"/>
  <c r="G132" i="64" s="1"/>
  <c r="I131" i="64"/>
  <c r="G131" i="64" a="1"/>
  <c r="G131" i="64" s="1"/>
  <c r="I130" i="64"/>
  <c r="G130" i="64" a="1"/>
  <c r="G130" i="64" s="1"/>
  <c r="I129" i="64"/>
  <c r="G129" i="64" a="1"/>
  <c r="G129" i="64" s="1"/>
  <c r="I128" i="64"/>
  <c r="G128" i="64" a="1"/>
  <c r="G128" i="64" s="1"/>
  <c r="I123" i="64"/>
  <c r="G123" i="64" a="1"/>
  <c r="G123" i="64" s="1"/>
  <c r="I122" i="64"/>
  <c r="G122" i="64" a="1"/>
  <c r="G122" i="64" s="1"/>
  <c r="I121" i="64"/>
  <c r="G121" i="64" a="1"/>
  <c r="G121" i="64" s="1"/>
  <c r="I120" i="64"/>
  <c r="G120" i="64"/>
  <c r="G120" i="64" a="1"/>
  <c r="I119" i="64"/>
  <c r="G119" i="64" a="1"/>
  <c r="G119" i="64" s="1"/>
  <c r="I118" i="64"/>
  <c r="G118" i="64" a="1"/>
  <c r="G118" i="64" s="1"/>
  <c r="I117" i="64"/>
  <c r="G117" i="64" a="1"/>
  <c r="G117" i="64" s="1"/>
  <c r="I116" i="64"/>
  <c r="G116" i="64" a="1"/>
  <c r="G116" i="64" s="1"/>
  <c r="I115" i="64"/>
  <c r="G115" i="64" a="1"/>
  <c r="G115" i="64" s="1"/>
  <c r="I114" i="64"/>
  <c r="G114" i="64" a="1"/>
  <c r="G114" i="64" s="1"/>
  <c r="I113" i="64"/>
  <c r="G113" i="64" a="1"/>
  <c r="G113" i="64" s="1"/>
  <c r="I112" i="64"/>
  <c r="G112" i="64" a="1"/>
  <c r="G112" i="64" s="1"/>
  <c r="I111" i="64"/>
  <c r="G111" i="64" a="1"/>
  <c r="G111" i="64" s="1"/>
  <c r="I110" i="64"/>
  <c r="G110" i="64" a="1"/>
  <c r="G110" i="64" s="1"/>
  <c r="I109" i="64"/>
  <c r="G109" i="64" a="1"/>
  <c r="G109" i="64" s="1"/>
  <c r="I108" i="64"/>
  <c r="G108" i="64" a="1"/>
  <c r="G108" i="64" s="1"/>
  <c r="I107" i="64"/>
  <c r="G107" i="64" a="1"/>
  <c r="G107" i="64" s="1"/>
  <c r="I106" i="64"/>
  <c r="G106" i="64" a="1"/>
  <c r="G106" i="64" s="1"/>
  <c r="I105" i="64"/>
  <c r="G105" i="64" a="1"/>
  <c r="G105" i="64" s="1"/>
  <c r="I104" i="64"/>
  <c r="G104" i="64" a="1"/>
  <c r="G104" i="64" s="1"/>
  <c r="I103" i="64"/>
  <c r="G103" i="64" a="1"/>
  <c r="G103" i="64" s="1"/>
  <c r="I102" i="64"/>
  <c r="G102" i="64" a="1"/>
  <c r="G102" i="64" s="1"/>
  <c r="I96" i="64"/>
  <c r="G96" i="64" a="1"/>
  <c r="G96" i="64" s="1"/>
  <c r="I95" i="64"/>
  <c r="G95" i="64" a="1"/>
  <c r="G95" i="64" s="1"/>
  <c r="I94" i="64"/>
  <c r="G94" i="64" a="1"/>
  <c r="G94" i="64" s="1"/>
  <c r="I93" i="64"/>
  <c r="G93" i="64" a="1"/>
  <c r="G93" i="64" s="1"/>
  <c r="I92" i="64"/>
  <c r="G92" i="64" a="1"/>
  <c r="G92" i="64" s="1"/>
  <c r="I91" i="64"/>
  <c r="G91" i="64" a="1"/>
  <c r="G91" i="64" s="1"/>
  <c r="I90" i="64"/>
  <c r="G90" i="64" a="1"/>
  <c r="G90" i="64" s="1"/>
  <c r="I89" i="64"/>
  <c r="G89" i="64" a="1"/>
  <c r="G89" i="64" s="1"/>
  <c r="I88" i="64"/>
  <c r="G88" i="64" a="1"/>
  <c r="G88" i="64" s="1"/>
  <c r="I83" i="64"/>
  <c r="G83" i="64" a="1"/>
  <c r="G83" i="64" s="1"/>
  <c r="I82" i="64"/>
  <c r="G82" i="64" a="1"/>
  <c r="G82" i="64" s="1"/>
  <c r="I81" i="64"/>
  <c r="G81" i="64" a="1"/>
  <c r="G81" i="64" s="1"/>
  <c r="I80" i="64"/>
  <c r="G80" i="64" a="1"/>
  <c r="G80" i="64" s="1"/>
  <c r="I79" i="64"/>
  <c r="G79" i="64" a="1"/>
  <c r="G79" i="64" s="1"/>
  <c r="I78" i="64"/>
  <c r="G78" i="64" a="1"/>
  <c r="G78" i="64" s="1"/>
  <c r="I77" i="64"/>
  <c r="G77" i="64" a="1"/>
  <c r="G77" i="64" s="1"/>
  <c r="I76" i="64"/>
  <c r="G76" i="64" a="1"/>
  <c r="G76" i="64" s="1"/>
  <c r="I75" i="64"/>
  <c r="G75" i="64" a="1"/>
  <c r="G75" i="64" s="1"/>
  <c r="I74" i="64"/>
  <c r="G74" i="64" a="1"/>
  <c r="G74" i="64" s="1"/>
  <c r="I73" i="64"/>
  <c r="G73" i="64" a="1"/>
  <c r="G73" i="64" s="1"/>
  <c r="I72" i="64"/>
  <c r="G72" i="64" a="1"/>
  <c r="G72" i="64" s="1"/>
  <c r="I71" i="64"/>
  <c r="G71" i="64" a="1"/>
  <c r="G71" i="64" s="1"/>
  <c r="I70" i="64"/>
  <c r="G70" i="64" a="1"/>
  <c r="G70" i="64" s="1"/>
  <c r="I69" i="64"/>
  <c r="G69" i="64" a="1"/>
  <c r="G69" i="64" s="1"/>
  <c r="I68" i="64"/>
  <c r="G68" i="64" a="1"/>
  <c r="G68" i="64" s="1"/>
  <c r="I67" i="64"/>
  <c r="G67" i="64" a="1"/>
  <c r="G67" i="64" s="1"/>
  <c r="I66" i="64"/>
  <c r="G66" i="64" a="1"/>
  <c r="G66" i="64" s="1"/>
  <c r="I60" i="64"/>
  <c r="G60" i="64" a="1"/>
  <c r="G60" i="64" s="1"/>
  <c r="I59" i="64"/>
  <c r="G59" i="64" a="1"/>
  <c r="G59" i="64" s="1"/>
  <c r="I58" i="64"/>
  <c r="G58" i="64" a="1"/>
  <c r="G58" i="64" s="1"/>
  <c r="I53" i="64"/>
  <c r="G53" i="64" a="1"/>
  <c r="G53" i="64" s="1"/>
  <c r="I52" i="64"/>
  <c r="G52" i="64" a="1"/>
  <c r="G52" i="64" s="1"/>
  <c r="I51" i="64"/>
  <c r="G51" i="64" a="1"/>
  <c r="G51" i="64" s="1"/>
  <c r="I50" i="64"/>
  <c r="G50" i="64" a="1"/>
  <c r="G50" i="64" s="1"/>
  <c r="I49" i="64"/>
  <c r="G49" i="64" a="1"/>
  <c r="G49" i="64" s="1"/>
  <c r="I48" i="64"/>
  <c r="G48" i="64" a="1"/>
  <c r="G48" i="64" s="1"/>
  <c r="I47" i="64"/>
  <c r="G47" i="64" a="1"/>
  <c r="G47" i="64" s="1"/>
  <c r="I46" i="64"/>
  <c r="G46" i="64" a="1"/>
  <c r="G46" i="64" s="1"/>
  <c r="I41" i="64"/>
  <c r="G41" i="64" a="1"/>
  <c r="G41" i="64" s="1"/>
  <c r="I40" i="64"/>
  <c r="G40" i="64" a="1"/>
  <c r="G40" i="64" s="1"/>
  <c r="I39" i="64"/>
  <c r="G39" i="64" a="1"/>
  <c r="G39" i="64" s="1"/>
  <c r="I38" i="64"/>
  <c r="G38" i="64" a="1"/>
  <c r="G38" i="64" s="1"/>
  <c r="I37" i="64"/>
  <c r="G37" i="64" a="1"/>
  <c r="G37" i="64" s="1"/>
  <c r="I36" i="64"/>
  <c r="G36" i="64" a="1"/>
  <c r="G36" i="64" s="1"/>
  <c r="I35" i="64"/>
  <c r="G35" i="64" a="1"/>
  <c r="G35" i="64" s="1"/>
  <c r="I34" i="64"/>
  <c r="G34" i="64" a="1"/>
  <c r="G34" i="64" s="1"/>
  <c r="I33" i="64"/>
  <c r="G33" i="64" a="1"/>
  <c r="G33" i="64" s="1"/>
  <c r="I32" i="64"/>
  <c r="G32" i="64" a="1"/>
  <c r="G32" i="64" s="1"/>
  <c r="I31" i="64"/>
  <c r="G31" i="64" a="1"/>
  <c r="G31" i="64" s="1"/>
  <c r="I26" i="64"/>
  <c r="G26" i="64" a="1"/>
  <c r="G26" i="64" s="1"/>
  <c r="I25" i="64"/>
  <c r="G25" i="64" a="1"/>
  <c r="G25" i="64" s="1"/>
  <c r="D15" i="64"/>
  <c r="D17" i="45"/>
  <c r="D17" i="4"/>
  <c r="D7" i="44"/>
  <c r="D7" i="3"/>
  <c r="D7" i="2"/>
  <c r="D7" i="43"/>
  <c r="F9" i="63"/>
  <c r="H31" i="62"/>
  <c r="D14" i="62"/>
  <c r="H27" i="64" l="1"/>
  <c r="H135" i="64" s="1"/>
  <c r="N78" i="66"/>
  <c r="J78" i="66"/>
  <c r="O78" i="66"/>
  <c r="P78" i="66"/>
  <c r="K160" i="66"/>
  <c r="H61" i="64"/>
  <c r="H138" i="64" s="1"/>
  <c r="H133" i="64"/>
  <c r="H142" i="64" s="1"/>
  <c r="H124" i="64"/>
  <c r="H141" i="64" s="1"/>
  <c r="H97" i="64"/>
  <c r="H140" i="64" s="1"/>
  <c r="H84" i="64"/>
  <c r="H139" i="64" s="1"/>
  <c r="H54" i="64"/>
  <c r="H137" i="64" s="1"/>
  <c r="H42" i="64"/>
  <c r="H136" i="64" s="1"/>
  <c r="K160" i="65"/>
  <c r="O160" i="65"/>
  <c r="J160" i="65"/>
  <c r="N160" i="65"/>
  <c r="I160" i="65"/>
  <c r="M160" i="65"/>
  <c r="L160" i="65"/>
  <c r="P160" i="65"/>
  <c r="K78" i="65"/>
  <c r="O78" i="65"/>
  <c r="P78" i="65"/>
  <c r="L78" i="65"/>
  <c r="J59" i="65"/>
  <c r="M78" i="65"/>
  <c r="J78" i="65"/>
  <c r="N78" i="65"/>
  <c r="J48" i="11"/>
  <c r="G26" i="41" a="1"/>
  <c r="G26" i="41" s="1"/>
  <c r="P165" i="59"/>
  <c r="O165" i="59"/>
  <c r="N165" i="59"/>
  <c r="M165" i="59"/>
  <c r="L165" i="59"/>
  <c r="K165" i="59"/>
  <c r="J165" i="59"/>
  <c r="I165" i="59"/>
  <c r="C163" i="59"/>
  <c r="C162" i="59"/>
  <c r="C161" i="59"/>
  <c r="P156" i="59"/>
  <c r="O156" i="59"/>
  <c r="N156" i="59"/>
  <c r="M156" i="59"/>
  <c r="L156" i="59"/>
  <c r="K156" i="59"/>
  <c r="J156" i="59"/>
  <c r="I156" i="59"/>
  <c r="C154" i="59"/>
  <c r="C153" i="59"/>
  <c r="P112" i="59"/>
  <c r="O112" i="59"/>
  <c r="N112" i="59"/>
  <c r="M112" i="59"/>
  <c r="L112" i="59"/>
  <c r="K112" i="59"/>
  <c r="J112" i="59"/>
  <c r="I112" i="59"/>
  <c r="D103" i="59"/>
  <c r="D102" i="59"/>
  <c r="D94" i="59"/>
  <c r="D92" i="59"/>
  <c r="P84" i="59"/>
  <c r="O84" i="59"/>
  <c r="N84" i="59"/>
  <c r="M84" i="59"/>
  <c r="L84" i="59"/>
  <c r="K84" i="59"/>
  <c r="J84" i="59"/>
  <c r="P75" i="59"/>
  <c r="O75" i="59"/>
  <c r="N75" i="59"/>
  <c r="M75" i="59"/>
  <c r="L75" i="59"/>
  <c r="K75" i="59"/>
  <c r="J75" i="59"/>
  <c r="J65" i="59"/>
  <c r="K65" i="59" s="1"/>
  <c r="L65" i="59" s="1"/>
  <c r="M65" i="59" s="1"/>
  <c r="N65" i="59" s="1"/>
  <c r="O65" i="59" s="1"/>
  <c r="P65" i="59" s="1"/>
  <c r="I146" i="59" s="1"/>
  <c r="J146" i="59" s="1"/>
  <c r="K146" i="59" s="1"/>
  <c r="L146" i="59" s="1"/>
  <c r="M146" i="59" s="1"/>
  <c r="N146" i="59" s="1"/>
  <c r="O146" i="59" s="1"/>
  <c r="P146" i="59" s="1"/>
  <c r="K63" i="59"/>
  <c r="L63" i="59" s="1"/>
  <c r="M63" i="59" s="1"/>
  <c r="N63" i="59" s="1"/>
  <c r="O63" i="59" s="1"/>
  <c r="P63" i="59" s="1"/>
  <c r="I144" i="59" s="1"/>
  <c r="J144" i="59" s="1"/>
  <c r="K144" i="59" s="1"/>
  <c r="L144" i="59" s="1"/>
  <c r="M144" i="59" s="1"/>
  <c r="N144" i="59" s="1"/>
  <c r="O144" i="59" s="1"/>
  <c r="P144" i="59" s="1"/>
  <c r="J60" i="59"/>
  <c r="K60" i="59" s="1"/>
  <c r="L60" i="59" s="1"/>
  <c r="M60" i="59" s="1"/>
  <c r="N60" i="59" s="1"/>
  <c r="O60" i="59" s="1"/>
  <c r="P60" i="59" s="1"/>
  <c r="I141" i="59" s="1"/>
  <c r="J141" i="59" s="1"/>
  <c r="K141" i="59" s="1"/>
  <c r="L141" i="59" s="1"/>
  <c r="M141" i="59" s="1"/>
  <c r="N141" i="59" s="1"/>
  <c r="O141" i="59" s="1"/>
  <c r="P141" i="59" s="1"/>
  <c r="J59" i="59"/>
  <c r="K56" i="59"/>
  <c r="L56" i="59" s="1"/>
  <c r="M56" i="59" s="1"/>
  <c r="N56" i="59" s="1"/>
  <c r="O56" i="59" s="1"/>
  <c r="P56" i="59" s="1"/>
  <c r="I137" i="59" s="1"/>
  <c r="J137" i="59" s="1"/>
  <c r="K137" i="59" s="1"/>
  <c r="L137" i="59" s="1"/>
  <c r="M137" i="59" s="1"/>
  <c r="N137" i="59" s="1"/>
  <c r="O137" i="59" s="1"/>
  <c r="P137" i="59" s="1"/>
  <c r="K55" i="59"/>
  <c r="L55" i="59" s="1"/>
  <c r="M55" i="59" s="1"/>
  <c r="N55" i="59" s="1"/>
  <c r="O55" i="59" s="1"/>
  <c r="P55" i="59" s="1"/>
  <c r="I136" i="59" s="1"/>
  <c r="J136" i="59" s="1"/>
  <c r="K136" i="59" s="1"/>
  <c r="L136" i="59" s="1"/>
  <c r="M136" i="59" s="1"/>
  <c r="N136" i="59" s="1"/>
  <c r="O136" i="59" s="1"/>
  <c r="P136" i="59" s="1"/>
  <c r="K54" i="59"/>
  <c r="L54" i="59" s="1"/>
  <c r="M54" i="59" s="1"/>
  <c r="N54" i="59" s="1"/>
  <c r="O54" i="59" s="1"/>
  <c r="P54" i="59" s="1"/>
  <c r="I135" i="59" s="1"/>
  <c r="J135" i="59" s="1"/>
  <c r="K135" i="59" s="1"/>
  <c r="L135" i="59" s="1"/>
  <c r="M135" i="59" s="1"/>
  <c r="N135" i="59" s="1"/>
  <c r="O135" i="59" s="1"/>
  <c r="P135" i="59" s="1"/>
  <c r="K53" i="59"/>
  <c r="L53" i="59" s="1"/>
  <c r="M53" i="59" s="1"/>
  <c r="N53" i="59" s="1"/>
  <c r="O53" i="59" s="1"/>
  <c r="P53" i="59" s="1"/>
  <c r="I134" i="59" s="1"/>
  <c r="J134" i="59" s="1"/>
  <c r="K134" i="59" s="1"/>
  <c r="L134" i="59" s="1"/>
  <c r="M134" i="59" s="1"/>
  <c r="N134" i="59" s="1"/>
  <c r="O134" i="59" s="1"/>
  <c r="P134" i="59" s="1"/>
  <c r="K52" i="59"/>
  <c r="L52" i="59" s="1"/>
  <c r="M52" i="59" s="1"/>
  <c r="N52" i="59" s="1"/>
  <c r="O52" i="59" s="1"/>
  <c r="P52" i="59" s="1"/>
  <c r="I133" i="59" s="1"/>
  <c r="J133" i="59" s="1"/>
  <c r="K133" i="59" s="1"/>
  <c r="L133" i="59" s="1"/>
  <c r="M133" i="59" s="1"/>
  <c r="N133" i="59" s="1"/>
  <c r="O133" i="59" s="1"/>
  <c r="P133" i="59" s="1"/>
  <c r="K51" i="59"/>
  <c r="L51" i="59" s="1"/>
  <c r="M51" i="59" s="1"/>
  <c r="N51" i="59" s="1"/>
  <c r="O51" i="59" s="1"/>
  <c r="P51" i="59" s="1"/>
  <c r="I132" i="59" s="1"/>
  <c r="J132" i="59" s="1"/>
  <c r="K132" i="59" s="1"/>
  <c r="L132" i="59" s="1"/>
  <c r="M132" i="59" s="1"/>
  <c r="N132" i="59" s="1"/>
  <c r="O132" i="59" s="1"/>
  <c r="P132" i="59" s="1"/>
  <c r="K50" i="59"/>
  <c r="L50" i="59" s="1"/>
  <c r="M50" i="59" s="1"/>
  <c r="N50" i="59" s="1"/>
  <c r="O50" i="59" s="1"/>
  <c r="P50" i="59" s="1"/>
  <c r="I131" i="59" s="1"/>
  <c r="J131" i="59" s="1"/>
  <c r="K131" i="59" s="1"/>
  <c r="L131" i="59" s="1"/>
  <c r="M131" i="59" s="1"/>
  <c r="N131" i="59" s="1"/>
  <c r="O131" i="59" s="1"/>
  <c r="P131" i="59" s="1"/>
  <c r="K49" i="59"/>
  <c r="L49" i="59" s="1"/>
  <c r="M49" i="59" s="1"/>
  <c r="N49" i="59" s="1"/>
  <c r="O49" i="59" s="1"/>
  <c r="P49" i="59" s="1"/>
  <c r="I130" i="59" s="1"/>
  <c r="J130" i="59" s="1"/>
  <c r="K130" i="59" s="1"/>
  <c r="L130" i="59" s="1"/>
  <c r="M130" i="59" s="1"/>
  <c r="N130" i="59" s="1"/>
  <c r="O130" i="59" s="1"/>
  <c r="P130" i="59" s="1"/>
  <c r="K48" i="59"/>
  <c r="L48" i="59" s="1"/>
  <c r="M48" i="59" s="1"/>
  <c r="N48" i="59" s="1"/>
  <c r="O48" i="59" s="1"/>
  <c r="P48" i="59" s="1"/>
  <c r="I129" i="59" s="1"/>
  <c r="J129" i="59" s="1"/>
  <c r="K129" i="59" s="1"/>
  <c r="L129" i="59" s="1"/>
  <c r="M129" i="59" s="1"/>
  <c r="N129" i="59" s="1"/>
  <c r="O129" i="59" s="1"/>
  <c r="P129" i="59" s="1"/>
  <c r="K47" i="59"/>
  <c r="L47" i="59" s="1"/>
  <c r="M47" i="59" s="1"/>
  <c r="N47" i="59" s="1"/>
  <c r="O47" i="59" s="1"/>
  <c r="P47" i="59" s="1"/>
  <c r="I128" i="59" s="1"/>
  <c r="J128" i="59" s="1"/>
  <c r="K128" i="59" s="1"/>
  <c r="L128" i="59" s="1"/>
  <c r="M128" i="59" s="1"/>
  <c r="N128" i="59" s="1"/>
  <c r="O128" i="59" s="1"/>
  <c r="P128" i="59" s="1"/>
  <c r="K46" i="59"/>
  <c r="L46" i="59" s="1"/>
  <c r="M46" i="59" s="1"/>
  <c r="N46" i="59" s="1"/>
  <c r="O46" i="59" s="1"/>
  <c r="P46" i="59" s="1"/>
  <c r="I127" i="59" s="1"/>
  <c r="J127" i="59" s="1"/>
  <c r="K127" i="59" s="1"/>
  <c r="L127" i="59" s="1"/>
  <c r="M127" i="59" s="1"/>
  <c r="N127" i="59" s="1"/>
  <c r="O127" i="59" s="1"/>
  <c r="P127" i="59" s="1"/>
  <c r="K45" i="59"/>
  <c r="L45" i="59" s="1"/>
  <c r="M45" i="59" s="1"/>
  <c r="N45" i="59" s="1"/>
  <c r="O45" i="59" s="1"/>
  <c r="P45" i="59" s="1"/>
  <c r="I126" i="59" s="1"/>
  <c r="J126" i="59" s="1"/>
  <c r="K126" i="59" s="1"/>
  <c r="L126" i="59" s="1"/>
  <c r="M126" i="59" s="1"/>
  <c r="N126" i="59" s="1"/>
  <c r="O126" i="59" s="1"/>
  <c r="P126" i="59" s="1"/>
  <c r="K44" i="59"/>
  <c r="L44" i="59" s="1"/>
  <c r="M44" i="59" s="1"/>
  <c r="N44" i="59" s="1"/>
  <c r="O44" i="59" s="1"/>
  <c r="P44" i="59" s="1"/>
  <c r="I125" i="59" s="1"/>
  <c r="J125" i="59" s="1"/>
  <c r="K125" i="59" s="1"/>
  <c r="L125" i="59" s="1"/>
  <c r="M125" i="59" s="1"/>
  <c r="N125" i="59" s="1"/>
  <c r="O125" i="59" s="1"/>
  <c r="P125" i="59" s="1"/>
  <c r="K43" i="59"/>
  <c r="L43" i="59" s="1"/>
  <c r="M43" i="59" s="1"/>
  <c r="N43" i="59" s="1"/>
  <c r="O43" i="59" s="1"/>
  <c r="P43" i="59" s="1"/>
  <c r="I124" i="59" s="1"/>
  <c r="J124" i="59" s="1"/>
  <c r="K124" i="59" s="1"/>
  <c r="L124" i="59" s="1"/>
  <c r="M124" i="59" s="1"/>
  <c r="N124" i="59" s="1"/>
  <c r="O124" i="59" s="1"/>
  <c r="P124" i="59" s="1"/>
  <c r="K42" i="59"/>
  <c r="L42" i="59" s="1"/>
  <c r="M42" i="59" s="1"/>
  <c r="N42" i="59" s="1"/>
  <c r="O42" i="59" s="1"/>
  <c r="P42" i="59" s="1"/>
  <c r="I123" i="59" s="1"/>
  <c r="J123" i="59" s="1"/>
  <c r="K123" i="59" s="1"/>
  <c r="L123" i="59" s="1"/>
  <c r="M123" i="59" s="1"/>
  <c r="N123" i="59" s="1"/>
  <c r="O123" i="59" s="1"/>
  <c r="P123" i="59" s="1"/>
  <c r="K41" i="59"/>
  <c r="L41" i="59" s="1"/>
  <c r="M41" i="59" s="1"/>
  <c r="N41" i="59" s="1"/>
  <c r="O41" i="59" s="1"/>
  <c r="P41" i="59" s="1"/>
  <c r="I122" i="59" s="1"/>
  <c r="J122" i="59" s="1"/>
  <c r="K122" i="59" s="1"/>
  <c r="L122" i="59" s="1"/>
  <c r="M122" i="59" s="1"/>
  <c r="N122" i="59" s="1"/>
  <c r="O122" i="59" s="1"/>
  <c r="P122" i="59" s="1"/>
  <c r="K40" i="59"/>
  <c r="L40" i="59" s="1"/>
  <c r="M40" i="59" s="1"/>
  <c r="N40" i="59" s="1"/>
  <c r="O40" i="59" s="1"/>
  <c r="P40" i="59" s="1"/>
  <c r="I121" i="59" s="1"/>
  <c r="J121" i="59" s="1"/>
  <c r="K121" i="59" s="1"/>
  <c r="L121" i="59" s="1"/>
  <c r="M121" i="59" s="1"/>
  <c r="N121" i="59" s="1"/>
  <c r="O121" i="59" s="1"/>
  <c r="P121" i="59" s="1"/>
  <c r="K39" i="59"/>
  <c r="L39" i="59" s="1"/>
  <c r="M39" i="59" s="1"/>
  <c r="N39" i="59" s="1"/>
  <c r="O39" i="59" s="1"/>
  <c r="P39" i="59" s="1"/>
  <c r="I120" i="59" s="1"/>
  <c r="J120" i="59" s="1"/>
  <c r="K120" i="59" s="1"/>
  <c r="L120" i="59" s="1"/>
  <c r="M120" i="59" s="1"/>
  <c r="N120" i="59" s="1"/>
  <c r="O120" i="59" s="1"/>
  <c r="P120" i="59" s="1"/>
  <c r="K38" i="59"/>
  <c r="L38" i="59" s="1"/>
  <c r="M38" i="59" s="1"/>
  <c r="N38" i="59" s="1"/>
  <c r="O38" i="59" s="1"/>
  <c r="P38" i="59" s="1"/>
  <c r="I119" i="59" s="1"/>
  <c r="J119" i="59" s="1"/>
  <c r="K119" i="59" s="1"/>
  <c r="L119" i="59" s="1"/>
  <c r="M119" i="59" s="1"/>
  <c r="N119" i="59" s="1"/>
  <c r="O119" i="59" s="1"/>
  <c r="P119" i="59" s="1"/>
  <c r="P31" i="59"/>
  <c r="O31" i="59"/>
  <c r="N31" i="59"/>
  <c r="M31" i="59"/>
  <c r="L31" i="59"/>
  <c r="K31" i="59"/>
  <c r="J31" i="59"/>
  <c r="K22" i="59"/>
  <c r="L22" i="59" s="1"/>
  <c r="M22" i="59" s="1"/>
  <c r="N22" i="59" s="1"/>
  <c r="O22" i="59" s="1"/>
  <c r="P22" i="59" s="1"/>
  <c r="I103" i="59" s="1"/>
  <c r="J103" i="59" s="1"/>
  <c r="K103" i="59" s="1"/>
  <c r="L103" i="59" s="1"/>
  <c r="M103" i="59" s="1"/>
  <c r="N103" i="59" s="1"/>
  <c r="O103" i="59" s="1"/>
  <c r="P103" i="59" s="1"/>
  <c r="K21" i="59"/>
  <c r="L21" i="59" s="1"/>
  <c r="M21" i="59" s="1"/>
  <c r="N21" i="59" s="1"/>
  <c r="O21" i="59" s="1"/>
  <c r="P21" i="59" s="1"/>
  <c r="I102" i="59" s="1"/>
  <c r="J102" i="59" s="1"/>
  <c r="K102" i="59" s="1"/>
  <c r="L102" i="59" s="1"/>
  <c r="M102" i="59" s="1"/>
  <c r="N102" i="59" s="1"/>
  <c r="O102" i="59" s="1"/>
  <c r="P102" i="59" s="1"/>
  <c r="D11" i="59"/>
  <c r="P175" i="58"/>
  <c r="O175" i="58"/>
  <c r="N175" i="58"/>
  <c r="M175" i="58"/>
  <c r="L175" i="58"/>
  <c r="K175" i="58"/>
  <c r="J175" i="58"/>
  <c r="I175" i="58"/>
  <c r="C173" i="58"/>
  <c r="C172" i="58"/>
  <c r="C171" i="58"/>
  <c r="P166" i="58"/>
  <c r="O166" i="58"/>
  <c r="N166" i="58"/>
  <c r="M166" i="58"/>
  <c r="L166" i="58"/>
  <c r="K166" i="58"/>
  <c r="J166" i="58"/>
  <c r="I166" i="58"/>
  <c r="C164" i="58"/>
  <c r="C158" i="65" s="1"/>
  <c r="C163" i="58"/>
  <c r="C157" i="65" s="1"/>
  <c r="P122" i="58"/>
  <c r="O122" i="58"/>
  <c r="N122" i="58"/>
  <c r="M122" i="58"/>
  <c r="L122" i="58"/>
  <c r="K122" i="58"/>
  <c r="J122" i="58"/>
  <c r="I122" i="58"/>
  <c r="D113" i="58"/>
  <c r="D112" i="58"/>
  <c r="D104" i="58"/>
  <c r="D102" i="58"/>
  <c r="P94" i="58"/>
  <c r="O94" i="58"/>
  <c r="N94" i="58"/>
  <c r="M94" i="58"/>
  <c r="L94" i="58"/>
  <c r="K94" i="58"/>
  <c r="J94" i="58"/>
  <c r="P85" i="58"/>
  <c r="O85" i="58"/>
  <c r="N85" i="58"/>
  <c r="M85" i="58"/>
  <c r="L85" i="58"/>
  <c r="K85" i="58"/>
  <c r="J85" i="58"/>
  <c r="K75" i="58"/>
  <c r="L75" i="58" s="1"/>
  <c r="M75" i="58" s="1"/>
  <c r="N75" i="58" s="1"/>
  <c r="O75" i="58" s="1"/>
  <c r="P75" i="58" s="1"/>
  <c r="I156" i="58" s="1"/>
  <c r="J156" i="58" s="1"/>
  <c r="K156" i="58" s="1"/>
  <c r="L156" i="58" s="1"/>
  <c r="M156" i="58" s="1"/>
  <c r="N156" i="58" s="1"/>
  <c r="O156" i="58" s="1"/>
  <c r="P156" i="58" s="1"/>
  <c r="J71" i="58"/>
  <c r="K70" i="58"/>
  <c r="L70" i="58" s="1"/>
  <c r="M70" i="58" s="1"/>
  <c r="N70" i="58" s="1"/>
  <c r="O70" i="58" s="1"/>
  <c r="P70" i="58" s="1"/>
  <c r="I151" i="58" s="1"/>
  <c r="J151" i="58" s="1"/>
  <c r="K151" i="58" s="1"/>
  <c r="L151" i="58" s="1"/>
  <c r="M151" i="58" s="1"/>
  <c r="N151" i="58" s="1"/>
  <c r="O151" i="58" s="1"/>
  <c r="P151" i="58" s="1"/>
  <c r="K69" i="58"/>
  <c r="L69" i="58" s="1"/>
  <c r="K66" i="58"/>
  <c r="L66" i="58" s="1"/>
  <c r="M66" i="58" s="1"/>
  <c r="N66" i="58" s="1"/>
  <c r="O66" i="58" s="1"/>
  <c r="P66" i="58" s="1"/>
  <c r="I147" i="58" s="1"/>
  <c r="J147" i="58" s="1"/>
  <c r="K147" i="58" s="1"/>
  <c r="L147" i="58" s="1"/>
  <c r="M147" i="58" s="1"/>
  <c r="N147" i="58" s="1"/>
  <c r="O147" i="58" s="1"/>
  <c r="P147" i="58" s="1"/>
  <c r="K65" i="58"/>
  <c r="L65" i="58" s="1"/>
  <c r="M65" i="58" s="1"/>
  <c r="N65" i="58" s="1"/>
  <c r="O65" i="58" s="1"/>
  <c r="P65" i="58" s="1"/>
  <c r="I146" i="58" s="1"/>
  <c r="J146" i="58" s="1"/>
  <c r="K146" i="58" s="1"/>
  <c r="L146" i="58" s="1"/>
  <c r="M146" i="58" s="1"/>
  <c r="N146" i="58" s="1"/>
  <c r="O146" i="58" s="1"/>
  <c r="P146" i="58" s="1"/>
  <c r="K64" i="58"/>
  <c r="L64" i="58" s="1"/>
  <c r="M64" i="58" s="1"/>
  <c r="N64" i="58" s="1"/>
  <c r="O64" i="58" s="1"/>
  <c r="P64" i="58" s="1"/>
  <c r="I145" i="58" s="1"/>
  <c r="J145" i="58" s="1"/>
  <c r="K145" i="58" s="1"/>
  <c r="L145" i="58" s="1"/>
  <c r="M145" i="58" s="1"/>
  <c r="N145" i="58" s="1"/>
  <c r="O145" i="58" s="1"/>
  <c r="P145" i="58" s="1"/>
  <c r="K63" i="58"/>
  <c r="L63" i="58" s="1"/>
  <c r="M63" i="58" s="1"/>
  <c r="N63" i="58" s="1"/>
  <c r="O63" i="58" s="1"/>
  <c r="P63" i="58" s="1"/>
  <c r="I144" i="58" s="1"/>
  <c r="J144" i="58" s="1"/>
  <c r="K144" i="58" s="1"/>
  <c r="L144" i="58" s="1"/>
  <c r="M144" i="58" s="1"/>
  <c r="N144" i="58" s="1"/>
  <c r="O144" i="58" s="1"/>
  <c r="P144" i="58" s="1"/>
  <c r="K62" i="58"/>
  <c r="L62" i="58" s="1"/>
  <c r="M62" i="58" s="1"/>
  <c r="N62" i="58" s="1"/>
  <c r="O62" i="58" s="1"/>
  <c r="P62" i="58" s="1"/>
  <c r="I143" i="58" s="1"/>
  <c r="J143" i="58" s="1"/>
  <c r="K143" i="58" s="1"/>
  <c r="L143" i="58" s="1"/>
  <c r="M143" i="58" s="1"/>
  <c r="N143" i="58" s="1"/>
  <c r="O143" i="58" s="1"/>
  <c r="P143" i="58" s="1"/>
  <c r="K61" i="58"/>
  <c r="L61" i="58" s="1"/>
  <c r="M61" i="58" s="1"/>
  <c r="N61" i="58" s="1"/>
  <c r="O61" i="58" s="1"/>
  <c r="P61" i="58" s="1"/>
  <c r="I142" i="58" s="1"/>
  <c r="J142" i="58" s="1"/>
  <c r="K142" i="58" s="1"/>
  <c r="L142" i="58" s="1"/>
  <c r="M142" i="58" s="1"/>
  <c r="N142" i="58" s="1"/>
  <c r="O142" i="58" s="1"/>
  <c r="P142" i="58" s="1"/>
  <c r="K60" i="58"/>
  <c r="L60" i="58" s="1"/>
  <c r="M60" i="58" s="1"/>
  <c r="N60" i="58" s="1"/>
  <c r="O60" i="58" s="1"/>
  <c r="P60" i="58" s="1"/>
  <c r="I141" i="58" s="1"/>
  <c r="J141" i="58" s="1"/>
  <c r="K141" i="58" s="1"/>
  <c r="L141" i="58" s="1"/>
  <c r="M141" i="58" s="1"/>
  <c r="N141" i="58" s="1"/>
  <c r="O141" i="58" s="1"/>
  <c r="P141" i="58" s="1"/>
  <c r="K59" i="58"/>
  <c r="L59" i="58" s="1"/>
  <c r="M59" i="58" s="1"/>
  <c r="N59" i="58" s="1"/>
  <c r="O59" i="58" s="1"/>
  <c r="P59" i="58" s="1"/>
  <c r="I140" i="58" s="1"/>
  <c r="J140" i="58" s="1"/>
  <c r="K140" i="58" s="1"/>
  <c r="L140" i="58" s="1"/>
  <c r="M140" i="58" s="1"/>
  <c r="N140" i="58" s="1"/>
  <c r="O140" i="58" s="1"/>
  <c r="P140" i="58" s="1"/>
  <c r="K58" i="58"/>
  <c r="L58" i="58" s="1"/>
  <c r="M58" i="58" s="1"/>
  <c r="N58" i="58" s="1"/>
  <c r="O58" i="58" s="1"/>
  <c r="P58" i="58" s="1"/>
  <c r="I139" i="58" s="1"/>
  <c r="J139" i="58" s="1"/>
  <c r="K139" i="58" s="1"/>
  <c r="L139" i="58" s="1"/>
  <c r="M139" i="58" s="1"/>
  <c r="N139" i="58" s="1"/>
  <c r="O139" i="58" s="1"/>
  <c r="P139" i="58" s="1"/>
  <c r="K57" i="58"/>
  <c r="L57" i="58" s="1"/>
  <c r="M57" i="58" s="1"/>
  <c r="N57" i="58" s="1"/>
  <c r="O57" i="58" s="1"/>
  <c r="P57" i="58" s="1"/>
  <c r="I138" i="58" s="1"/>
  <c r="J138" i="58" s="1"/>
  <c r="K138" i="58" s="1"/>
  <c r="L138" i="58" s="1"/>
  <c r="M138" i="58" s="1"/>
  <c r="N138" i="58" s="1"/>
  <c r="O138" i="58" s="1"/>
  <c r="P138" i="58" s="1"/>
  <c r="K56" i="58"/>
  <c r="L56" i="58" s="1"/>
  <c r="M56" i="58" s="1"/>
  <c r="N56" i="58" s="1"/>
  <c r="O56" i="58" s="1"/>
  <c r="P56" i="58" s="1"/>
  <c r="I137" i="58" s="1"/>
  <c r="J137" i="58" s="1"/>
  <c r="K137" i="58" s="1"/>
  <c r="L137" i="58" s="1"/>
  <c r="M137" i="58" s="1"/>
  <c r="N137" i="58" s="1"/>
  <c r="O137" i="58" s="1"/>
  <c r="P137" i="58" s="1"/>
  <c r="K55" i="58"/>
  <c r="L55" i="58" s="1"/>
  <c r="M55" i="58" s="1"/>
  <c r="N55" i="58" s="1"/>
  <c r="O55" i="58" s="1"/>
  <c r="P55" i="58" s="1"/>
  <c r="I136" i="58" s="1"/>
  <c r="J136" i="58" s="1"/>
  <c r="K136" i="58" s="1"/>
  <c r="L136" i="58" s="1"/>
  <c r="M136" i="58" s="1"/>
  <c r="N136" i="58" s="1"/>
  <c r="O136" i="58" s="1"/>
  <c r="P136" i="58" s="1"/>
  <c r="K54" i="58"/>
  <c r="L54" i="58" s="1"/>
  <c r="M54" i="58" s="1"/>
  <c r="N54" i="58" s="1"/>
  <c r="O54" i="58" s="1"/>
  <c r="P54" i="58" s="1"/>
  <c r="I135" i="58" s="1"/>
  <c r="J135" i="58" s="1"/>
  <c r="K135" i="58" s="1"/>
  <c r="L135" i="58" s="1"/>
  <c r="M135" i="58" s="1"/>
  <c r="N135" i="58" s="1"/>
  <c r="O135" i="58" s="1"/>
  <c r="P135" i="58" s="1"/>
  <c r="K53" i="58"/>
  <c r="L53" i="58" s="1"/>
  <c r="M53" i="58" s="1"/>
  <c r="N53" i="58" s="1"/>
  <c r="O53" i="58" s="1"/>
  <c r="P53" i="58" s="1"/>
  <c r="I134" i="58" s="1"/>
  <c r="J134" i="58" s="1"/>
  <c r="K134" i="58" s="1"/>
  <c r="L134" i="58" s="1"/>
  <c r="M134" i="58" s="1"/>
  <c r="N134" i="58" s="1"/>
  <c r="O134" i="58" s="1"/>
  <c r="P134" i="58" s="1"/>
  <c r="K52" i="58"/>
  <c r="L52" i="58" s="1"/>
  <c r="M52" i="58" s="1"/>
  <c r="N52" i="58" s="1"/>
  <c r="O52" i="58" s="1"/>
  <c r="P52" i="58" s="1"/>
  <c r="I133" i="58" s="1"/>
  <c r="J133" i="58" s="1"/>
  <c r="K133" i="58" s="1"/>
  <c r="L133" i="58" s="1"/>
  <c r="M133" i="58" s="1"/>
  <c r="N133" i="58" s="1"/>
  <c r="O133" i="58" s="1"/>
  <c r="P133" i="58" s="1"/>
  <c r="K51" i="58"/>
  <c r="L51" i="58" s="1"/>
  <c r="M51" i="58" s="1"/>
  <c r="N51" i="58" s="1"/>
  <c r="O51" i="58" s="1"/>
  <c r="P51" i="58" s="1"/>
  <c r="I132" i="58" s="1"/>
  <c r="J132" i="58" s="1"/>
  <c r="K132" i="58" s="1"/>
  <c r="L132" i="58" s="1"/>
  <c r="M132" i="58" s="1"/>
  <c r="N132" i="58" s="1"/>
  <c r="O132" i="58" s="1"/>
  <c r="P132" i="58" s="1"/>
  <c r="K50" i="58"/>
  <c r="L50" i="58" s="1"/>
  <c r="M50" i="58" s="1"/>
  <c r="N50" i="58" s="1"/>
  <c r="O50" i="58" s="1"/>
  <c r="P50" i="58" s="1"/>
  <c r="I131" i="58" s="1"/>
  <c r="J131" i="58" s="1"/>
  <c r="K131" i="58" s="1"/>
  <c r="L131" i="58" s="1"/>
  <c r="M131" i="58" s="1"/>
  <c r="N131" i="58" s="1"/>
  <c r="O131" i="58" s="1"/>
  <c r="P131" i="58" s="1"/>
  <c r="K49" i="58"/>
  <c r="L49" i="58" s="1"/>
  <c r="M49" i="58" s="1"/>
  <c r="N49" i="58" s="1"/>
  <c r="O49" i="58" s="1"/>
  <c r="P49" i="58" s="1"/>
  <c r="I130" i="58" s="1"/>
  <c r="J130" i="58" s="1"/>
  <c r="K130" i="58" s="1"/>
  <c r="L130" i="58" s="1"/>
  <c r="M130" i="58" s="1"/>
  <c r="N130" i="58" s="1"/>
  <c r="O130" i="58" s="1"/>
  <c r="P130" i="58" s="1"/>
  <c r="K48" i="58"/>
  <c r="L48" i="58" s="1"/>
  <c r="M48" i="58" s="1"/>
  <c r="N48" i="58" s="1"/>
  <c r="O48" i="58" s="1"/>
  <c r="P48" i="58" s="1"/>
  <c r="I129" i="58" s="1"/>
  <c r="J129" i="58" s="1"/>
  <c r="K129" i="58" s="1"/>
  <c r="L129" i="58" s="1"/>
  <c r="M129" i="58" s="1"/>
  <c r="N129" i="58" s="1"/>
  <c r="O129" i="58" s="1"/>
  <c r="P129" i="58" s="1"/>
  <c r="P41" i="58"/>
  <c r="O41" i="58"/>
  <c r="N41" i="58"/>
  <c r="M41" i="58"/>
  <c r="L41" i="58"/>
  <c r="K41" i="58"/>
  <c r="J41" i="58"/>
  <c r="K32" i="58"/>
  <c r="L32" i="58" s="1"/>
  <c r="M32" i="58" s="1"/>
  <c r="N32" i="58" s="1"/>
  <c r="O32" i="58" s="1"/>
  <c r="P32" i="58" s="1"/>
  <c r="I113" i="58" s="1"/>
  <c r="J113" i="58" s="1"/>
  <c r="K113" i="58" s="1"/>
  <c r="L113" i="58" s="1"/>
  <c r="M113" i="58" s="1"/>
  <c r="N113" i="58" s="1"/>
  <c r="O113" i="58" s="1"/>
  <c r="P113" i="58" s="1"/>
  <c r="K31" i="58"/>
  <c r="L31" i="58" s="1"/>
  <c r="M31" i="58" s="1"/>
  <c r="N31" i="58" s="1"/>
  <c r="O31" i="58" s="1"/>
  <c r="P31" i="58" s="1"/>
  <c r="I112" i="58" s="1"/>
  <c r="J112" i="58" s="1"/>
  <c r="K112" i="58" s="1"/>
  <c r="L112" i="58" s="1"/>
  <c r="M112" i="58" s="1"/>
  <c r="N112" i="58" s="1"/>
  <c r="O112" i="58" s="1"/>
  <c r="P112" i="58" s="1"/>
  <c r="D21" i="58"/>
  <c r="D25" i="57"/>
  <c r="M24" i="57"/>
  <c r="L24" i="57"/>
  <c r="I24" i="57"/>
  <c r="K24" i="57" s="1"/>
  <c r="M22" i="57"/>
  <c r="L22" i="57"/>
  <c r="I22" i="57"/>
  <c r="K22" i="57" s="1"/>
  <c r="M21" i="57"/>
  <c r="L21" i="57"/>
  <c r="I21" i="57"/>
  <c r="K21" i="57" s="1"/>
  <c r="M20" i="57"/>
  <c r="L20" i="57"/>
  <c r="I20" i="57"/>
  <c r="K20" i="57" s="1"/>
  <c r="M19" i="57"/>
  <c r="L19" i="57"/>
  <c r="I19" i="57"/>
  <c r="K19" i="57" s="1"/>
  <c r="M18" i="57"/>
  <c r="L18" i="57"/>
  <c r="I18" i="57"/>
  <c r="K18" i="57" s="1"/>
  <c r="M17" i="57"/>
  <c r="L17" i="57"/>
  <c r="I17" i="57"/>
  <c r="K17" i="57" s="1"/>
  <c r="M16" i="57"/>
  <c r="L16" i="57"/>
  <c r="I16" i="57"/>
  <c r="K16" i="57" s="1"/>
  <c r="M15" i="57"/>
  <c r="L15" i="57"/>
  <c r="I15" i="57"/>
  <c r="K15" i="57" s="1"/>
  <c r="M14" i="57"/>
  <c r="L14" i="57"/>
  <c r="I14" i="57"/>
  <c r="K14" i="57" s="1"/>
  <c r="M13" i="57"/>
  <c r="L13" i="57"/>
  <c r="I13" i="57"/>
  <c r="K13" i="57" s="1"/>
  <c r="M12" i="57"/>
  <c r="L12" i="57"/>
  <c r="I12" i="57"/>
  <c r="K12" i="57" s="1"/>
  <c r="M11" i="57"/>
  <c r="L11" i="57"/>
  <c r="I11" i="57"/>
  <c r="K11" i="57" s="1"/>
  <c r="M10" i="57"/>
  <c r="L10" i="57"/>
  <c r="I10" i="57"/>
  <c r="K10" i="57" s="1"/>
  <c r="D5" i="57"/>
  <c r="I52" i="55"/>
  <c r="I53" i="55" s="1"/>
  <c r="I48" i="55"/>
  <c r="I47" i="55"/>
  <c r="I46" i="55"/>
  <c r="I45" i="55"/>
  <c r="I41" i="55"/>
  <c r="I40" i="55"/>
  <c r="I38" i="55"/>
  <c r="I37" i="55"/>
  <c r="I33" i="55"/>
  <c r="I32" i="55"/>
  <c r="I31" i="55"/>
  <c r="I30" i="55"/>
  <c r="I29" i="55"/>
  <c r="I28" i="55"/>
  <c r="I27" i="55"/>
  <c r="I26" i="55"/>
  <c r="I22" i="55"/>
  <c r="I21" i="55"/>
  <c r="I20" i="55"/>
  <c r="I19" i="55"/>
  <c r="I18" i="55"/>
  <c r="I17" i="55"/>
  <c r="I16" i="55"/>
  <c r="I15" i="55"/>
  <c r="I11" i="55"/>
  <c r="I12" i="55" s="1"/>
  <c r="E5" i="55"/>
  <c r="G50" i="54"/>
  <c r="G26" i="54"/>
  <c r="E9" i="54"/>
  <c r="J108" i="53"/>
  <c r="J77" i="53"/>
  <c r="J64" i="53"/>
  <c r="J48" i="53"/>
  <c r="J29" i="53"/>
  <c r="F13" i="53"/>
  <c r="F9" i="52"/>
  <c r="V116" i="51"/>
  <c r="U116" i="51"/>
  <c r="R116" i="51"/>
  <c r="Q116" i="51"/>
  <c r="P116" i="51"/>
  <c r="N116" i="51"/>
  <c r="M116" i="51"/>
  <c r="L116" i="51"/>
  <c r="T115" i="51"/>
  <c r="P110" i="63" s="1"/>
  <c r="K115" i="51"/>
  <c r="T114" i="51"/>
  <c r="P109" i="63" s="1"/>
  <c r="K114" i="51"/>
  <c r="T113" i="51"/>
  <c r="P108" i="63" s="1"/>
  <c r="K113" i="51"/>
  <c r="T112" i="51"/>
  <c r="P107" i="63" s="1"/>
  <c r="K112" i="51"/>
  <c r="T111" i="51"/>
  <c r="P106" i="63" s="1"/>
  <c r="K111" i="51"/>
  <c r="T110" i="51"/>
  <c r="P105" i="63" s="1"/>
  <c r="K110" i="51"/>
  <c r="T109" i="51"/>
  <c r="P104" i="63" s="1"/>
  <c r="K109" i="51"/>
  <c r="V105" i="51"/>
  <c r="U105" i="51"/>
  <c r="R105" i="51"/>
  <c r="Q105" i="51"/>
  <c r="P105" i="51"/>
  <c r="N105" i="51"/>
  <c r="M105" i="51"/>
  <c r="L105" i="51"/>
  <c r="T104" i="51"/>
  <c r="P99" i="63" s="1"/>
  <c r="K104" i="51"/>
  <c r="T103" i="51"/>
  <c r="P98" i="63" s="1"/>
  <c r="K103" i="51"/>
  <c r="T102" i="51"/>
  <c r="P97" i="63" s="1"/>
  <c r="K102" i="51"/>
  <c r="T101" i="51"/>
  <c r="P96" i="63" s="1"/>
  <c r="K101" i="51"/>
  <c r="T100" i="51"/>
  <c r="P95" i="63" s="1"/>
  <c r="K100" i="51"/>
  <c r="T99" i="51"/>
  <c r="P94" i="63" s="1"/>
  <c r="K99" i="51"/>
  <c r="T98" i="51"/>
  <c r="P93" i="63" s="1"/>
  <c r="K98" i="51"/>
  <c r="T97" i="51"/>
  <c r="P92" i="63" s="1"/>
  <c r="K97" i="51"/>
  <c r="T96" i="51"/>
  <c r="P91" i="63" s="1"/>
  <c r="K96" i="51"/>
  <c r="T95" i="51"/>
  <c r="P90" i="63" s="1"/>
  <c r="K95" i="51"/>
  <c r="T94" i="51"/>
  <c r="P89" i="63" s="1"/>
  <c r="K94" i="51"/>
  <c r="O89" i="63" s="1"/>
  <c r="V91" i="51"/>
  <c r="U91" i="51"/>
  <c r="R91" i="51"/>
  <c r="Q91" i="51"/>
  <c r="P91" i="51"/>
  <c r="N91" i="51"/>
  <c r="M91" i="51"/>
  <c r="L91" i="51"/>
  <c r="T90" i="51"/>
  <c r="P85" i="63" s="1"/>
  <c r="K90" i="51"/>
  <c r="T89" i="51"/>
  <c r="P84" i="63" s="1"/>
  <c r="K89" i="51"/>
  <c r="O84" i="63" s="1"/>
  <c r="T88" i="51"/>
  <c r="P83" i="63" s="1"/>
  <c r="K88" i="51"/>
  <c r="O83" i="63" s="1"/>
  <c r="V85" i="51"/>
  <c r="U85" i="51"/>
  <c r="R85" i="51"/>
  <c r="Q85" i="51"/>
  <c r="P85" i="51"/>
  <c r="N85" i="51"/>
  <c r="M85" i="51"/>
  <c r="L85" i="51"/>
  <c r="T84" i="51"/>
  <c r="P79" i="63" s="1"/>
  <c r="K84" i="51"/>
  <c r="O79" i="63" s="1"/>
  <c r="T83" i="51"/>
  <c r="P78" i="63" s="1"/>
  <c r="K83" i="51"/>
  <c r="O78" i="63" s="1"/>
  <c r="T82" i="51"/>
  <c r="P77" i="63" s="1"/>
  <c r="K82" i="51"/>
  <c r="O77" i="63" s="1"/>
  <c r="T81" i="51"/>
  <c r="P76" i="63" s="1"/>
  <c r="K81" i="51"/>
  <c r="O76" i="63" s="1"/>
  <c r="T80" i="51"/>
  <c r="P75" i="63" s="1"/>
  <c r="K80" i="51"/>
  <c r="O75" i="63" s="1"/>
  <c r="T79" i="51"/>
  <c r="P74" i="63" s="1"/>
  <c r="K79" i="51"/>
  <c r="O74" i="63" s="1"/>
  <c r="T78" i="51"/>
  <c r="P73" i="63" s="1"/>
  <c r="K78" i="51"/>
  <c r="O73" i="63" s="1"/>
  <c r="T77" i="51"/>
  <c r="P72" i="63" s="1"/>
  <c r="K77" i="51"/>
  <c r="O72" i="63" s="1"/>
  <c r="V74" i="51"/>
  <c r="U74" i="51"/>
  <c r="R74" i="51"/>
  <c r="Q74" i="51"/>
  <c r="P74" i="51"/>
  <c r="N74" i="51"/>
  <c r="M74" i="51"/>
  <c r="L74" i="51"/>
  <c r="T73" i="51"/>
  <c r="P68" i="63" s="1"/>
  <c r="K73" i="51"/>
  <c r="O68" i="63" s="1"/>
  <c r="T72" i="51"/>
  <c r="P67" i="63" s="1"/>
  <c r="K72" i="51"/>
  <c r="T71" i="51"/>
  <c r="P66" i="63" s="1"/>
  <c r="K71" i="51"/>
  <c r="O66" i="63" s="1"/>
  <c r="T70" i="51"/>
  <c r="P65" i="63" s="1"/>
  <c r="K70" i="51"/>
  <c r="O65" i="63" s="1"/>
  <c r="T69" i="51"/>
  <c r="P64" i="63" s="1"/>
  <c r="K69" i="51"/>
  <c r="O64" i="63" s="1"/>
  <c r="V66" i="51"/>
  <c r="U66" i="51"/>
  <c r="R66" i="51"/>
  <c r="Q66" i="51"/>
  <c r="P66" i="51"/>
  <c r="N66" i="51"/>
  <c r="M66" i="51"/>
  <c r="L66" i="51"/>
  <c r="T65" i="51"/>
  <c r="P60" i="63" s="1"/>
  <c r="K65" i="51"/>
  <c r="O60" i="63" s="1"/>
  <c r="T64" i="51"/>
  <c r="P59" i="63" s="1"/>
  <c r="K64" i="51"/>
  <c r="V61" i="51"/>
  <c r="U61" i="51"/>
  <c r="R61" i="51"/>
  <c r="Q61" i="51"/>
  <c r="P61" i="51"/>
  <c r="N61" i="51"/>
  <c r="M61" i="51"/>
  <c r="L61" i="51"/>
  <c r="T60" i="51"/>
  <c r="P55" i="63" s="1"/>
  <c r="K60" i="51"/>
  <c r="T59" i="51"/>
  <c r="P54" i="63" s="1"/>
  <c r="K59" i="51"/>
  <c r="T58" i="51"/>
  <c r="P53" i="63" s="1"/>
  <c r="K58" i="51"/>
  <c r="T57" i="51"/>
  <c r="P52" i="63" s="1"/>
  <c r="K57" i="51"/>
  <c r="O52" i="63" s="1"/>
  <c r="T56" i="51"/>
  <c r="P51" i="63" s="1"/>
  <c r="K56" i="51"/>
  <c r="T55" i="51"/>
  <c r="P50" i="63" s="1"/>
  <c r="K55" i="51"/>
  <c r="T54" i="51"/>
  <c r="P49" i="63" s="1"/>
  <c r="K54" i="51"/>
  <c r="T53" i="51"/>
  <c r="P48" i="63" s="1"/>
  <c r="K53" i="51"/>
  <c r="O48" i="63" s="1"/>
  <c r="T52" i="51"/>
  <c r="P47" i="63" s="1"/>
  <c r="K52" i="51"/>
  <c r="T51" i="51"/>
  <c r="P46" i="63" s="1"/>
  <c r="K51" i="51"/>
  <c r="T50" i="51"/>
  <c r="P45" i="63" s="1"/>
  <c r="K50" i="51"/>
  <c r="T49" i="51"/>
  <c r="P44" i="63" s="1"/>
  <c r="K49" i="51"/>
  <c r="O44" i="63" s="1"/>
  <c r="T48" i="51"/>
  <c r="P43" i="63" s="1"/>
  <c r="K48" i="51"/>
  <c r="O43" i="63" s="1"/>
  <c r="V45" i="51"/>
  <c r="U45" i="51"/>
  <c r="R45" i="51"/>
  <c r="Q45" i="51"/>
  <c r="P45" i="51"/>
  <c r="N45" i="51"/>
  <c r="M45" i="51"/>
  <c r="L45" i="51"/>
  <c r="T44" i="51"/>
  <c r="P39" i="63" s="1"/>
  <c r="K44" i="51"/>
  <c r="T43" i="51"/>
  <c r="P38" i="63" s="1"/>
  <c r="K43" i="51"/>
  <c r="O38" i="63" s="1"/>
  <c r="T42" i="51"/>
  <c r="P37" i="63" s="1"/>
  <c r="K42" i="51"/>
  <c r="T41" i="51"/>
  <c r="P36" i="63" s="1"/>
  <c r="K41" i="51"/>
  <c r="T40" i="51"/>
  <c r="P35" i="63" s="1"/>
  <c r="K40" i="51"/>
  <c r="T39" i="51"/>
  <c r="P34" i="63" s="1"/>
  <c r="K39" i="51"/>
  <c r="O34" i="63" s="1"/>
  <c r="T38" i="51"/>
  <c r="P33" i="63" s="1"/>
  <c r="K38" i="51"/>
  <c r="T37" i="51"/>
  <c r="P32" i="63" s="1"/>
  <c r="K37" i="51"/>
  <c r="T36" i="51"/>
  <c r="P31" i="63" s="1"/>
  <c r="K36" i="51"/>
  <c r="T35" i="51"/>
  <c r="P30" i="63" s="1"/>
  <c r="K35" i="51"/>
  <c r="O30" i="63" s="1"/>
  <c r="T34" i="51"/>
  <c r="P29" i="63" s="1"/>
  <c r="K34" i="51"/>
  <c r="T33" i="51"/>
  <c r="P28" i="63" s="1"/>
  <c r="K33" i="51"/>
  <c r="O28" i="63" s="1"/>
  <c r="T32" i="51"/>
  <c r="P27" i="63" s="1"/>
  <c r="K32" i="51"/>
  <c r="O27" i="63" s="1"/>
  <c r="T31" i="51"/>
  <c r="P26" i="63" s="1"/>
  <c r="K31" i="51"/>
  <c r="O26" i="63" s="1"/>
  <c r="T30" i="51"/>
  <c r="P25" i="63" s="1"/>
  <c r="K30" i="51"/>
  <c r="O25" i="63" s="1"/>
  <c r="T29" i="51"/>
  <c r="K29" i="51"/>
  <c r="O24" i="63" s="1"/>
  <c r="V26" i="51"/>
  <c r="U26" i="51"/>
  <c r="R26" i="51"/>
  <c r="Q26" i="51"/>
  <c r="P26" i="51"/>
  <c r="N26" i="51"/>
  <c r="M26" i="51"/>
  <c r="L26" i="51"/>
  <c r="T25" i="51"/>
  <c r="P20" i="63" s="1"/>
  <c r="K25" i="51"/>
  <c r="O20" i="63" s="1"/>
  <c r="T24" i="51"/>
  <c r="P19" i="63" s="1"/>
  <c r="K24" i="51"/>
  <c r="O19" i="63" s="1"/>
  <c r="T23" i="51"/>
  <c r="P18" i="63" s="1"/>
  <c r="K23" i="51"/>
  <c r="O18" i="63" s="1"/>
  <c r="T22" i="51"/>
  <c r="P17" i="63" s="1"/>
  <c r="K22" i="51"/>
  <c r="O17" i="63" s="1"/>
  <c r="T21" i="51"/>
  <c r="P16" i="63" s="1"/>
  <c r="K21" i="51"/>
  <c r="O16" i="63" s="1"/>
  <c r="T20" i="51"/>
  <c r="K20" i="51"/>
  <c r="O15" i="63" s="1"/>
  <c r="F13" i="51"/>
  <c r="N36" i="45"/>
  <c r="J36" i="45"/>
  <c r="I36" i="45"/>
  <c r="H36" i="45"/>
  <c r="G36" i="45"/>
  <c r="F36" i="45"/>
  <c r="E36" i="45"/>
  <c r="K35" i="45"/>
  <c r="O35" i="45" s="1"/>
  <c r="K34" i="45"/>
  <c r="O34" i="45" s="1"/>
  <c r="K33" i="45"/>
  <c r="O33" i="45" s="1"/>
  <c r="K32" i="45"/>
  <c r="O32" i="45" s="1"/>
  <c r="K31" i="45"/>
  <c r="O31" i="45" s="1"/>
  <c r="K30" i="45"/>
  <c r="O30" i="45" s="1"/>
  <c r="K29" i="45"/>
  <c r="O29" i="45" s="1"/>
  <c r="K28" i="45"/>
  <c r="O28" i="45" s="1"/>
  <c r="K27" i="45"/>
  <c r="O27" i="45" s="1"/>
  <c r="K26" i="45"/>
  <c r="O26" i="45" s="1"/>
  <c r="K25" i="45"/>
  <c r="O25" i="45" s="1"/>
  <c r="K24" i="45"/>
  <c r="O24" i="45" s="1"/>
  <c r="K23" i="45"/>
  <c r="K22" i="45"/>
  <c r="O22" i="45" s="1"/>
  <c r="C22" i="45"/>
  <c r="D15" i="45"/>
  <c r="J24" i="44"/>
  <c r="I24" i="44"/>
  <c r="H24" i="44"/>
  <c r="K23" i="44"/>
  <c r="K22" i="44"/>
  <c r="K21" i="44"/>
  <c r="K20" i="44"/>
  <c r="K19" i="44"/>
  <c r="K18" i="44"/>
  <c r="K17" i="44"/>
  <c r="K16" i="44"/>
  <c r="K15" i="44"/>
  <c r="K14" i="44"/>
  <c r="K13" i="44"/>
  <c r="K12" i="44"/>
  <c r="K11" i="44"/>
  <c r="K10" i="44"/>
  <c r="D5" i="44"/>
  <c r="L25" i="43"/>
  <c r="L22" i="43"/>
  <c r="L21" i="43"/>
  <c r="K20" i="43"/>
  <c r="K23" i="43" s="1"/>
  <c r="J20" i="43"/>
  <c r="J23" i="43" s="1"/>
  <c r="I20" i="43"/>
  <c r="I23" i="43" s="1"/>
  <c r="H20" i="43"/>
  <c r="H23" i="43" s="1"/>
  <c r="G20" i="43"/>
  <c r="G23" i="43" s="1"/>
  <c r="F20" i="43"/>
  <c r="F23" i="43" s="1"/>
  <c r="E20" i="43"/>
  <c r="E23" i="43" s="1"/>
  <c r="D20" i="43"/>
  <c r="D23" i="43" s="1"/>
  <c r="L19" i="43"/>
  <c r="L18" i="43"/>
  <c r="L17" i="43"/>
  <c r="L16" i="43"/>
  <c r="L15" i="43"/>
  <c r="L14" i="43"/>
  <c r="L13" i="43"/>
  <c r="L12" i="43"/>
  <c r="L11" i="43"/>
  <c r="L10" i="43"/>
  <c r="D5" i="43"/>
  <c r="N74" i="63" l="1"/>
  <c r="N89" i="63"/>
  <c r="J114" i="51"/>
  <c r="J115" i="51"/>
  <c r="N19" i="63"/>
  <c r="N26" i="63"/>
  <c r="N30" i="63"/>
  <c r="N34" i="63"/>
  <c r="J43" i="51"/>
  <c r="P61" i="63"/>
  <c r="J112" i="51"/>
  <c r="J110" i="51"/>
  <c r="I49" i="55"/>
  <c r="T116" i="51"/>
  <c r="N28" i="63"/>
  <c r="N16" i="57"/>
  <c r="J111" i="51"/>
  <c r="N78" i="63"/>
  <c r="I42" i="55"/>
  <c r="N83" i="63"/>
  <c r="N75" i="63"/>
  <c r="N79" i="63"/>
  <c r="N76" i="63"/>
  <c r="N68" i="63"/>
  <c r="N65" i="63"/>
  <c r="N60" i="63"/>
  <c r="N38" i="63"/>
  <c r="N27" i="63"/>
  <c r="N16" i="63"/>
  <c r="N20" i="63"/>
  <c r="N17" i="63"/>
  <c r="N18" i="63"/>
  <c r="T45" i="51"/>
  <c r="P24" i="63"/>
  <c r="P40" i="63" s="1"/>
  <c r="I116" i="53"/>
  <c r="O109" i="63"/>
  <c r="N109" i="63" s="1"/>
  <c r="J120" i="53"/>
  <c r="F18" i="54" s="1"/>
  <c r="F23" i="54" s="1"/>
  <c r="F25" i="54" s="1"/>
  <c r="F28" i="54" s="1"/>
  <c r="F30" i="54" s="1"/>
  <c r="F32" i="54" s="1"/>
  <c r="N20" i="57"/>
  <c r="J61" i="59"/>
  <c r="N25" i="63"/>
  <c r="P56" i="63"/>
  <c r="P80" i="63"/>
  <c r="P86" i="63"/>
  <c r="K24" i="44"/>
  <c r="N44" i="63"/>
  <c r="N48" i="63"/>
  <c r="N52" i="63"/>
  <c r="N66" i="63"/>
  <c r="N73" i="63"/>
  <c r="N77" i="63"/>
  <c r="N84" i="63"/>
  <c r="J104" i="51"/>
  <c r="T26" i="51"/>
  <c r="P15" i="63"/>
  <c r="P21" i="63" s="1"/>
  <c r="I111" i="53"/>
  <c r="O104" i="63"/>
  <c r="N104" i="63" s="1"/>
  <c r="N21" i="57"/>
  <c r="P111" i="63"/>
  <c r="N19" i="57"/>
  <c r="I102" i="52"/>
  <c r="O110" i="63"/>
  <c r="N110" i="63" s="1"/>
  <c r="V119" i="51"/>
  <c r="P69" i="63"/>
  <c r="P100" i="63"/>
  <c r="I112" i="53"/>
  <c r="O105" i="63"/>
  <c r="N105" i="63" s="1"/>
  <c r="I23" i="55"/>
  <c r="I34" i="55"/>
  <c r="N22" i="57"/>
  <c r="N13" i="57"/>
  <c r="N17" i="57"/>
  <c r="I89" i="52"/>
  <c r="O95" i="63"/>
  <c r="N95" i="63" s="1"/>
  <c r="I93" i="52"/>
  <c r="O99" i="63"/>
  <c r="N99" i="63" s="1"/>
  <c r="J100" i="51"/>
  <c r="I93" i="53"/>
  <c r="E93" i="53" s="1"/>
  <c r="O85" i="63"/>
  <c r="N85" i="63" s="1"/>
  <c r="J64" i="51"/>
  <c r="O59" i="63"/>
  <c r="N59" i="63" s="1"/>
  <c r="J52" i="51"/>
  <c r="O47" i="63"/>
  <c r="N47" i="63" s="1"/>
  <c r="J51" i="51"/>
  <c r="O46" i="63"/>
  <c r="N46" i="63" s="1"/>
  <c r="J53" i="51"/>
  <c r="J38" i="51"/>
  <c r="O33" i="63"/>
  <c r="N33" i="63" s="1"/>
  <c r="J35" i="51"/>
  <c r="J40" i="51"/>
  <c r="O35" i="63"/>
  <c r="N35" i="63" s="1"/>
  <c r="J39" i="51"/>
  <c r="J36" i="51"/>
  <c r="O31" i="63"/>
  <c r="N31" i="63" s="1"/>
  <c r="N15" i="57"/>
  <c r="N24" i="57"/>
  <c r="N18" i="57"/>
  <c r="N10" i="57"/>
  <c r="N14" i="57"/>
  <c r="N12" i="57"/>
  <c r="N11" i="57"/>
  <c r="M25" i="57"/>
  <c r="I98" i="52"/>
  <c r="O106" i="63"/>
  <c r="N106" i="63" s="1"/>
  <c r="I99" i="52"/>
  <c r="O107" i="63"/>
  <c r="N107" i="63" s="1"/>
  <c r="I115" i="53"/>
  <c r="O108" i="63"/>
  <c r="J113" i="51"/>
  <c r="I92" i="52"/>
  <c r="O98" i="63"/>
  <c r="N98" i="63" s="1"/>
  <c r="I104" i="53"/>
  <c r="O96" i="63"/>
  <c r="N96" i="63" s="1"/>
  <c r="I87" i="52"/>
  <c r="O93" i="63"/>
  <c r="N93" i="63" s="1"/>
  <c r="J60" i="51"/>
  <c r="O55" i="63"/>
  <c r="N55" i="63" s="1"/>
  <c r="I91" i="52"/>
  <c r="O97" i="63"/>
  <c r="N97" i="63" s="1"/>
  <c r="I88" i="52"/>
  <c r="O94" i="63"/>
  <c r="N94" i="63" s="1"/>
  <c r="I100" i="53"/>
  <c r="K100" i="53" s="1"/>
  <c r="O92" i="63"/>
  <c r="N92" i="63" s="1"/>
  <c r="I85" i="52"/>
  <c r="O91" i="63"/>
  <c r="N91" i="63" s="1"/>
  <c r="I84" i="52"/>
  <c r="O90" i="63"/>
  <c r="N72" i="63"/>
  <c r="O80" i="63"/>
  <c r="J72" i="51"/>
  <c r="O67" i="63"/>
  <c r="N67" i="63" s="1"/>
  <c r="J71" i="51"/>
  <c r="N64" i="63"/>
  <c r="O61" i="63"/>
  <c r="J65" i="51"/>
  <c r="J59" i="51"/>
  <c r="O54" i="63"/>
  <c r="N54" i="63" s="1"/>
  <c r="J58" i="51"/>
  <c r="O53" i="63"/>
  <c r="N53" i="63" s="1"/>
  <c r="J57" i="51"/>
  <c r="P119" i="51"/>
  <c r="J56" i="51"/>
  <c r="O51" i="63"/>
  <c r="N51" i="63" s="1"/>
  <c r="J55" i="51"/>
  <c r="O50" i="63"/>
  <c r="N50" i="63" s="1"/>
  <c r="J54" i="51"/>
  <c r="O49" i="63"/>
  <c r="N49" i="63" s="1"/>
  <c r="J50" i="51"/>
  <c r="O45" i="63"/>
  <c r="N45" i="63" s="1"/>
  <c r="J49" i="51"/>
  <c r="N43" i="63"/>
  <c r="J44" i="51"/>
  <c r="O39" i="63"/>
  <c r="N39" i="63" s="1"/>
  <c r="J42" i="51"/>
  <c r="O37" i="63"/>
  <c r="N37" i="63" s="1"/>
  <c r="J41" i="51"/>
  <c r="O36" i="63"/>
  <c r="N36" i="63" s="1"/>
  <c r="J37" i="51"/>
  <c r="O32" i="63"/>
  <c r="N32" i="63" s="1"/>
  <c r="J34" i="51"/>
  <c r="O29" i="63"/>
  <c r="N29" i="63" s="1"/>
  <c r="O21" i="63"/>
  <c r="H143" i="64"/>
  <c r="H15" i="64" s="1"/>
  <c r="K61" i="51"/>
  <c r="J70" i="51"/>
  <c r="K105" i="51"/>
  <c r="J98" i="51"/>
  <c r="J102" i="51"/>
  <c r="J22" i="51"/>
  <c r="J24" i="51"/>
  <c r="Q119" i="51"/>
  <c r="J33" i="51"/>
  <c r="T61" i="51"/>
  <c r="T105" i="51"/>
  <c r="J101" i="51"/>
  <c r="J23" i="51"/>
  <c r="J25" i="51"/>
  <c r="J30" i="51"/>
  <c r="J32" i="51"/>
  <c r="T66" i="51"/>
  <c r="T74" i="51"/>
  <c r="T85" i="51"/>
  <c r="T91" i="51"/>
  <c r="J99" i="51"/>
  <c r="J103" i="51"/>
  <c r="J69" i="51"/>
  <c r="U119" i="51"/>
  <c r="J29" i="51"/>
  <c r="J20" i="51"/>
  <c r="J109" i="51"/>
  <c r="L119" i="51"/>
  <c r="J48" i="51"/>
  <c r="K36" i="45"/>
  <c r="L20" i="43"/>
  <c r="M69" i="58"/>
  <c r="L71" i="58"/>
  <c r="K71" i="58"/>
  <c r="K59" i="59"/>
  <c r="L25" i="57"/>
  <c r="I24" i="53"/>
  <c r="I17" i="52"/>
  <c r="I34" i="53"/>
  <c r="K34" i="53" s="1"/>
  <c r="I26" i="52"/>
  <c r="I69" i="52"/>
  <c r="I81" i="53"/>
  <c r="J78" i="51"/>
  <c r="I71" i="52"/>
  <c r="I83" i="53"/>
  <c r="J80" i="51"/>
  <c r="I87" i="53"/>
  <c r="E87" i="53" s="1"/>
  <c r="I75" i="52"/>
  <c r="J84" i="51"/>
  <c r="J21" i="51"/>
  <c r="N119" i="51"/>
  <c r="J31" i="51"/>
  <c r="I68" i="53"/>
  <c r="I58" i="52"/>
  <c r="I74" i="53"/>
  <c r="K74" i="53" s="1"/>
  <c r="I63" i="52"/>
  <c r="I68" i="52"/>
  <c r="I80" i="53"/>
  <c r="J77" i="51"/>
  <c r="I82" i="53"/>
  <c r="I70" i="52"/>
  <c r="J79" i="51"/>
  <c r="I72" i="52"/>
  <c r="I84" i="53"/>
  <c r="J81" i="51"/>
  <c r="I86" i="53"/>
  <c r="I74" i="52"/>
  <c r="J83" i="51"/>
  <c r="K85" i="51"/>
  <c r="I25" i="52"/>
  <c r="I33" i="53"/>
  <c r="K33" i="53" s="1"/>
  <c r="I28" i="52"/>
  <c r="I36" i="53"/>
  <c r="K36" i="53" s="1"/>
  <c r="I57" i="52"/>
  <c r="I67" i="53"/>
  <c r="I73" i="53"/>
  <c r="K73" i="53" s="1"/>
  <c r="I62" i="52"/>
  <c r="I76" i="53"/>
  <c r="I65" i="52"/>
  <c r="J73" i="51"/>
  <c r="I91" i="53"/>
  <c r="I78" i="52"/>
  <c r="K91" i="51"/>
  <c r="J88" i="51"/>
  <c r="I25" i="53"/>
  <c r="I18" i="52"/>
  <c r="I27" i="53"/>
  <c r="I20" i="52"/>
  <c r="I28" i="53"/>
  <c r="E28" i="53" s="1"/>
  <c r="I21" i="52"/>
  <c r="I24" i="52"/>
  <c r="I32" i="53"/>
  <c r="K32" i="53" s="1"/>
  <c r="I27" i="52"/>
  <c r="I35" i="53"/>
  <c r="K35" i="53" s="1"/>
  <c r="I29" i="52"/>
  <c r="I37" i="53"/>
  <c r="K37" i="53" s="1"/>
  <c r="I72" i="53"/>
  <c r="K72" i="53" s="1"/>
  <c r="I61" i="52"/>
  <c r="I73" i="52"/>
  <c r="I85" i="53"/>
  <c r="J82" i="51"/>
  <c r="I23" i="53"/>
  <c r="I16" i="52"/>
  <c r="I26" i="53"/>
  <c r="I19" i="52"/>
  <c r="K26" i="51"/>
  <c r="M119" i="51"/>
  <c r="R119" i="51"/>
  <c r="I38" i="53"/>
  <c r="K38" i="53" s="1"/>
  <c r="I30" i="52"/>
  <c r="I31" i="52"/>
  <c r="I39" i="53"/>
  <c r="K39" i="53" s="1"/>
  <c r="I32" i="52"/>
  <c r="I40" i="53"/>
  <c r="K40" i="53" s="1"/>
  <c r="I33" i="52"/>
  <c r="I41" i="53"/>
  <c r="I42" i="53"/>
  <c r="K42" i="53" s="1"/>
  <c r="I34" i="52"/>
  <c r="I35" i="52"/>
  <c r="I43" i="53"/>
  <c r="K43" i="53" s="1"/>
  <c r="I36" i="52"/>
  <c r="I44" i="53"/>
  <c r="K44" i="53" s="1"/>
  <c r="I37" i="52"/>
  <c r="I45" i="53"/>
  <c r="K45" i="53" s="1"/>
  <c r="I46" i="53"/>
  <c r="K46" i="53" s="1"/>
  <c r="I38" i="52"/>
  <c r="I47" i="53"/>
  <c r="I39" i="52"/>
  <c r="K45" i="51"/>
  <c r="I42" i="52"/>
  <c r="I51" i="53"/>
  <c r="I43" i="52"/>
  <c r="I52" i="53"/>
  <c r="K52" i="53" s="1"/>
  <c r="I53" i="53"/>
  <c r="K53" i="53" s="1"/>
  <c r="I44" i="52"/>
  <c r="I45" i="52"/>
  <c r="I54" i="53"/>
  <c r="K54" i="53" s="1"/>
  <c r="I46" i="52"/>
  <c r="I55" i="53"/>
  <c r="K55" i="53" s="1"/>
  <c r="I47" i="52"/>
  <c r="I56" i="53"/>
  <c r="K56" i="53" s="1"/>
  <c r="I57" i="53"/>
  <c r="K57" i="53" s="1"/>
  <c r="I48" i="52"/>
  <c r="I49" i="52"/>
  <c r="I58" i="53"/>
  <c r="K58" i="53" s="1"/>
  <c r="I50" i="52"/>
  <c r="I59" i="53"/>
  <c r="K59" i="53" s="1"/>
  <c r="I51" i="52"/>
  <c r="I60" i="53"/>
  <c r="K60" i="53" s="1"/>
  <c r="I61" i="53"/>
  <c r="K61" i="53" s="1"/>
  <c r="I52" i="52"/>
  <c r="I53" i="52"/>
  <c r="I62" i="53"/>
  <c r="K62" i="53" s="1"/>
  <c r="I63" i="53"/>
  <c r="E63" i="53" s="1"/>
  <c r="I54" i="52"/>
  <c r="K66" i="51"/>
  <c r="I75" i="53"/>
  <c r="K75" i="53" s="1"/>
  <c r="I64" i="52"/>
  <c r="K74" i="51"/>
  <c r="I79" i="52"/>
  <c r="I92" i="53"/>
  <c r="J89" i="51"/>
  <c r="J90" i="51"/>
  <c r="J94" i="51"/>
  <c r="J95" i="51"/>
  <c r="J96" i="51"/>
  <c r="J97" i="51"/>
  <c r="I80" i="52"/>
  <c r="I86" i="52"/>
  <c r="I90" i="52"/>
  <c r="I96" i="52"/>
  <c r="I100" i="52"/>
  <c r="I97" i="53"/>
  <c r="K97" i="53" s="1"/>
  <c r="I101" i="53"/>
  <c r="K101" i="53" s="1"/>
  <c r="I105" i="53"/>
  <c r="K105" i="53" s="1"/>
  <c r="I113" i="53"/>
  <c r="I117" i="53"/>
  <c r="I83" i="52"/>
  <c r="I97" i="52"/>
  <c r="I101" i="52"/>
  <c r="I98" i="53"/>
  <c r="K98" i="53" s="1"/>
  <c r="I102" i="53"/>
  <c r="K102" i="53" s="1"/>
  <c r="I106" i="53"/>
  <c r="I114" i="53"/>
  <c r="K116" i="51"/>
  <c r="I99" i="53"/>
  <c r="K99" i="53" s="1"/>
  <c r="I103" i="53"/>
  <c r="K103" i="53" s="1"/>
  <c r="I107" i="53"/>
  <c r="O23" i="45"/>
  <c r="O36" i="45" s="1"/>
  <c r="D15" i="41"/>
  <c r="I132" i="41"/>
  <c r="G132" i="41" a="1"/>
  <c r="G132" i="41" s="1"/>
  <c r="I131" i="41"/>
  <c r="G131" i="41" a="1"/>
  <c r="G131" i="41" s="1"/>
  <c r="I130" i="41"/>
  <c r="G130" i="41" a="1"/>
  <c r="G130" i="41" s="1"/>
  <c r="I129" i="41"/>
  <c r="G129" i="41" a="1"/>
  <c r="G129" i="41" s="1"/>
  <c r="I128" i="41"/>
  <c r="G128" i="41" a="1"/>
  <c r="G128" i="41" s="1"/>
  <c r="I123" i="41"/>
  <c r="G123" i="41" a="1"/>
  <c r="G123" i="41" s="1"/>
  <c r="I122" i="41"/>
  <c r="G122" i="41" a="1"/>
  <c r="G122" i="41" s="1"/>
  <c r="I121" i="41"/>
  <c r="G121" i="41" a="1"/>
  <c r="G121" i="41" s="1"/>
  <c r="I120" i="41"/>
  <c r="G120" i="41" a="1"/>
  <c r="G120" i="41" s="1"/>
  <c r="I119" i="41"/>
  <c r="G119" i="41" a="1"/>
  <c r="G119" i="41" s="1"/>
  <c r="I118" i="41"/>
  <c r="G118" i="41" a="1"/>
  <c r="G118" i="41" s="1"/>
  <c r="I117" i="41"/>
  <c r="G117" i="41" a="1"/>
  <c r="G117" i="41" s="1"/>
  <c r="I116" i="41"/>
  <c r="G116" i="41" a="1"/>
  <c r="G116" i="41" s="1"/>
  <c r="I115" i="41"/>
  <c r="G115" i="41" a="1"/>
  <c r="G115" i="41" s="1"/>
  <c r="I114" i="41"/>
  <c r="G114" i="41" a="1"/>
  <c r="G114" i="41" s="1"/>
  <c r="I113" i="41"/>
  <c r="G113" i="41" a="1"/>
  <c r="G113" i="41" s="1"/>
  <c r="I112" i="41"/>
  <c r="G112" i="41" a="1"/>
  <c r="G112" i="41" s="1"/>
  <c r="I111" i="41"/>
  <c r="G111" i="41" a="1"/>
  <c r="G111" i="41" s="1"/>
  <c r="I110" i="41"/>
  <c r="G110" i="41" a="1"/>
  <c r="G110" i="41" s="1"/>
  <c r="I109" i="41"/>
  <c r="G109" i="41" a="1"/>
  <c r="G109" i="41" s="1"/>
  <c r="I108" i="41"/>
  <c r="G108" i="41" a="1"/>
  <c r="G108" i="41" s="1"/>
  <c r="I107" i="41"/>
  <c r="G107" i="41" a="1"/>
  <c r="G107" i="41" s="1"/>
  <c r="I106" i="41"/>
  <c r="G106" i="41" a="1"/>
  <c r="G106" i="41" s="1"/>
  <c r="I105" i="41"/>
  <c r="G105" i="41" a="1"/>
  <c r="G105" i="41" s="1"/>
  <c r="I104" i="41"/>
  <c r="G104" i="41" a="1"/>
  <c r="G104" i="41" s="1"/>
  <c r="I103" i="41"/>
  <c r="G103" i="41" a="1"/>
  <c r="G103" i="41" s="1"/>
  <c r="I102" i="41"/>
  <c r="G102" i="41" a="1"/>
  <c r="G102" i="41" s="1"/>
  <c r="I96" i="41"/>
  <c r="G96" i="41" a="1"/>
  <c r="G96" i="41" s="1"/>
  <c r="I95" i="41"/>
  <c r="G95" i="41" a="1"/>
  <c r="G95" i="41" s="1"/>
  <c r="I94" i="41"/>
  <c r="G94" i="41" a="1"/>
  <c r="G94" i="41" s="1"/>
  <c r="I93" i="41"/>
  <c r="G93" i="41" a="1"/>
  <c r="G93" i="41" s="1"/>
  <c r="I92" i="41"/>
  <c r="G92" i="41" a="1"/>
  <c r="G92" i="41" s="1"/>
  <c r="I91" i="41"/>
  <c r="G91" i="41" a="1"/>
  <c r="G91" i="41" s="1"/>
  <c r="I90" i="41"/>
  <c r="G90" i="41" a="1"/>
  <c r="G90" i="41" s="1"/>
  <c r="I89" i="41"/>
  <c r="G89" i="41" a="1"/>
  <c r="G89" i="41" s="1"/>
  <c r="I88" i="41"/>
  <c r="G88" i="41" a="1"/>
  <c r="G88" i="41" s="1"/>
  <c r="I83" i="41"/>
  <c r="G83" i="41" a="1"/>
  <c r="G83" i="41" s="1"/>
  <c r="I82" i="41"/>
  <c r="G82" i="41" a="1"/>
  <c r="G82" i="41" s="1"/>
  <c r="I81" i="41"/>
  <c r="G81" i="41" a="1"/>
  <c r="G81" i="41" s="1"/>
  <c r="I80" i="41"/>
  <c r="G80" i="41" a="1"/>
  <c r="G80" i="41" s="1"/>
  <c r="I79" i="41"/>
  <c r="G79" i="41" a="1"/>
  <c r="G79" i="41" s="1"/>
  <c r="I78" i="41"/>
  <c r="G78" i="41" a="1"/>
  <c r="G78" i="41" s="1"/>
  <c r="I77" i="41"/>
  <c r="G77" i="41" a="1"/>
  <c r="G77" i="41" s="1"/>
  <c r="I76" i="41"/>
  <c r="G76" i="41" a="1"/>
  <c r="G76" i="41" s="1"/>
  <c r="I75" i="41"/>
  <c r="G75" i="41" a="1"/>
  <c r="G75" i="41" s="1"/>
  <c r="I74" i="41"/>
  <c r="G74" i="41" a="1"/>
  <c r="G74" i="41" s="1"/>
  <c r="I73" i="41"/>
  <c r="G73" i="41" a="1"/>
  <c r="G73" i="41" s="1"/>
  <c r="I72" i="41"/>
  <c r="G72" i="41" a="1"/>
  <c r="G72" i="41" s="1"/>
  <c r="I71" i="41"/>
  <c r="G71" i="41" a="1"/>
  <c r="G71" i="41" s="1"/>
  <c r="I70" i="41"/>
  <c r="G70" i="41" a="1"/>
  <c r="G70" i="41" s="1"/>
  <c r="I69" i="41"/>
  <c r="G69" i="41" a="1"/>
  <c r="G69" i="41" s="1"/>
  <c r="I68" i="41"/>
  <c r="G68" i="41" a="1"/>
  <c r="G68" i="41" s="1"/>
  <c r="I67" i="41"/>
  <c r="G67" i="41" a="1"/>
  <c r="G67" i="41" s="1"/>
  <c r="I66" i="41"/>
  <c r="G66" i="41" a="1"/>
  <c r="G66" i="41" s="1"/>
  <c r="I60" i="41"/>
  <c r="G60" i="41" a="1"/>
  <c r="G60" i="41" s="1"/>
  <c r="I59" i="41"/>
  <c r="G59" i="41" a="1"/>
  <c r="G59" i="41" s="1"/>
  <c r="I58" i="41"/>
  <c r="G58" i="41" a="1"/>
  <c r="G58" i="41" s="1"/>
  <c r="I53" i="41"/>
  <c r="G53" i="41" a="1"/>
  <c r="G53" i="41" s="1"/>
  <c r="I52" i="41"/>
  <c r="G52" i="41" a="1"/>
  <c r="G52" i="41" s="1"/>
  <c r="I51" i="41"/>
  <c r="G51" i="41" a="1"/>
  <c r="G51" i="41" s="1"/>
  <c r="I50" i="41"/>
  <c r="G50" i="41" a="1"/>
  <c r="G50" i="41" s="1"/>
  <c r="I49" i="41"/>
  <c r="G49" i="41" a="1"/>
  <c r="G49" i="41" s="1"/>
  <c r="I48" i="41"/>
  <c r="G48" i="41" a="1"/>
  <c r="G48" i="41" s="1"/>
  <c r="I47" i="41"/>
  <c r="G47" i="41" a="1"/>
  <c r="G47" i="41" s="1"/>
  <c r="I46" i="41"/>
  <c r="G46" i="41" a="1"/>
  <c r="G46" i="41" s="1"/>
  <c r="I41" i="41"/>
  <c r="G41" i="41" a="1"/>
  <c r="G41" i="41" s="1"/>
  <c r="I40" i="41"/>
  <c r="G40" i="41" a="1"/>
  <c r="G40" i="41" s="1"/>
  <c r="I39" i="41"/>
  <c r="G39" i="41" a="1"/>
  <c r="G39" i="41" s="1"/>
  <c r="I38" i="41"/>
  <c r="G38" i="41" a="1"/>
  <c r="G38" i="41" s="1"/>
  <c r="I37" i="41"/>
  <c r="G37" i="41" a="1"/>
  <c r="G37" i="41" s="1"/>
  <c r="I36" i="41"/>
  <c r="G36" i="41" a="1"/>
  <c r="G36" i="41" s="1"/>
  <c r="I35" i="41"/>
  <c r="G35" i="41" a="1"/>
  <c r="G35" i="41" s="1"/>
  <c r="I34" i="41"/>
  <c r="G34" i="41" a="1"/>
  <c r="G34" i="41" s="1"/>
  <c r="I33" i="41"/>
  <c r="G33" i="41" a="1"/>
  <c r="G33" i="41" s="1"/>
  <c r="I32" i="41"/>
  <c r="G32" i="41" a="1"/>
  <c r="G32" i="41" s="1"/>
  <c r="I31" i="41"/>
  <c r="G31" i="41" a="1"/>
  <c r="G31" i="41" s="1"/>
  <c r="I26" i="41"/>
  <c r="I25" i="41"/>
  <c r="G25" i="41" a="1"/>
  <c r="G25" i="41" s="1"/>
  <c r="I55" i="55" l="1"/>
  <c r="J55" i="55" s="1"/>
  <c r="N24" i="63"/>
  <c r="N40" i="63" s="1"/>
  <c r="N61" i="63"/>
  <c r="K77" i="53"/>
  <c r="N86" i="63"/>
  <c r="K108" i="53"/>
  <c r="E47" i="53"/>
  <c r="K47" i="53"/>
  <c r="K48" i="53" s="1"/>
  <c r="K64" i="53"/>
  <c r="J66" i="51"/>
  <c r="T118" i="51"/>
  <c r="N15" i="63"/>
  <c r="N21" i="63" s="1"/>
  <c r="H27" i="41"/>
  <c r="H135" i="41" s="1"/>
  <c r="T119" i="51"/>
  <c r="N80" i="63"/>
  <c r="P114" i="63"/>
  <c r="O86" i="63"/>
  <c r="O69" i="63"/>
  <c r="N69" i="63"/>
  <c r="O40" i="63"/>
  <c r="G34" i="51"/>
  <c r="L23" i="43"/>
  <c r="G31" i="62" s="1"/>
  <c r="G49" i="54"/>
  <c r="N25" i="57"/>
  <c r="J28" i="58"/>
  <c r="J18" i="59"/>
  <c r="J29" i="58"/>
  <c r="K29" i="58" s="1"/>
  <c r="L29" i="58" s="1"/>
  <c r="M29" i="58" s="1"/>
  <c r="N29" i="58" s="1"/>
  <c r="O29" i="58" s="1"/>
  <c r="P29" i="58" s="1"/>
  <c r="I110" i="58" s="1"/>
  <c r="J110" i="58" s="1"/>
  <c r="K110" i="58" s="1"/>
  <c r="L110" i="58" s="1"/>
  <c r="M110" i="58" s="1"/>
  <c r="N110" i="58" s="1"/>
  <c r="O110" i="58" s="1"/>
  <c r="P110" i="58" s="1"/>
  <c r="I118" i="53"/>
  <c r="J116" i="51"/>
  <c r="N108" i="63"/>
  <c r="N111" i="63" s="1"/>
  <c r="O111" i="63"/>
  <c r="O100" i="63"/>
  <c r="N90" i="63"/>
  <c r="N100" i="63" s="1"/>
  <c r="J74" i="51"/>
  <c r="J61" i="51"/>
  <c r="N56" i="63"/>
  <c r="O56" i="63"/>
  <c r="J26" i="51"/>
  <c r="G98" i="51"/>
  <c r="G35" i="51"/>
  <c r="I29" i="53"/>
  <c r="K119" i="51"/>
  <c r="H133" i="41"/>
  <c r="H142" i="41" s="1"/>
  <c r="H124" i="41"/>
  <c r="H141" i="41" s="1"/>
  <c r="H97" i="41"/>
  <c r="H140" i="41" s="1"/>
  <c r="H84" i="41"/>
  <c r="H139" i="41" s="1"/>
  <c r="H61" i="41"/>
  <c r="H138" i="41" s="1"/>
  <c r="H54" i="41"/>
  <c r="H137" i="41" s="1"/>
  <c r="H42" i="41"/>
  <c r="H136" i="41" s="1"/>
  <c r="M71" i="58"/>
  <c r="N69" i="58"/>
  <c r="L59" i="59"/>
  <c r="K61" i="59"/>
  <c r="J105" i="51"/>
  <c r="K118" i="51"/>
  <c r="G37" i="54" s="1"/>
  <c r="I108" i="53"/>
  <c r="I64" i="53"/>
  <c r="I94" i="53"/>
  <c r="I69" i="53"/>
  <c r="I77" i="53"/>
  <c r="J91" i="51"/>
  <c r="J85" i="51"/>
  <c r="J45" i="51"/>
  <c r="I48" i="53"/>
  <c r="I88" i="53"/>
  <c r="K120" i="53" l="1"/>
  <c r="G18" i="54" s="1"/>
  <c r="G23" i="54" s="1"/>
  <c r="G25" i="54" s="1"/>
  <c r="G28" i="54" s="1"/>
  <c r="G30" i="54" s="1"/>
  <c r="G32" i="54" s="1"/>
  <c r="G34" i="54" s="1"/>
  <c r="J119" i="51"/>
  <c r="K18" i="59"/>
  <c r="K28" i="58"/>
  <c r="O114" i="63"/>
  <c r="N114" i="63" s="1"/>
  <c r="N113" i="63"/>
  <c r="I120" i="53"/>
  <c r="H143" i="41"/>
  <c r="H15" i="41" s="1"/>
  <c r="N71" i="58"/>
  <c r="O69" i="58"/>
  <c r="M59" i="59"/>
  <c r="L61" i="59"/>
  <c r="J118" i="51"/>
  <c r="I85" i="51" s="1"/>
  <c r="L88" i="15"/>
  <c r="K88" i="15"/>
  <c r="J88" i="15"/>
  <c r="I88" i="15"/>
  <c r="H88" i="15"/>
  <c r="G88" i="15"/>
  <c r="F88" i="15"/>
  <c r="E88" i="15"/>
  <c r="L76" i="15"/>
  <c r="L90" i="15" s="1"/>
  <c r="K76" i="15"/>
  <c r="K90" i="15" s="1"/>
  <c r="J76" i="15"/>
  <c r="J90" i="15" s="1"/>
  <c r="I76" i="15"/>
  <c r="I90" i="15" s="1"/>
  <c r="H76" i="15"/>
  <c r="G76" i="15"/>
  <c r="G90" i="15" s="1"/>
  <c r="F76" i="15"/>
  <c r="E76" i="15"/>
  <c r="H90" i="15" l="1"/>
  <c r="F90" i="15"/>
  <c r="E90" i="15"/>
  <c r="L18" i="59"/>
  <c r="K23" i="59"/>
  <c r="K33" i="58"/>
  <c r="L28" i="58"/>
  <c r="I91" i="51"/>
  <c r="I45" i="51"/>
  <c r="I105" i="51"/>
  <c r="N59" i="59"/>
  <c r="M61" i="59"/>
  <c r="P69" i="58"/>
  <c r="O71" i="58"/>
  <c r="I37" i="51"/>
  <c r="I60" i="51"/>
  <c r="I59" i="51"/>
  <c r="I58" i="51"/>
  <c r="I57" i="51"/>
  <c r="I56" i="51"/>
  <c r="I55" i="51"/>
  <c r="I54" i="51"/>
  <c r="I53" i="51"/>
  <c r="I52" i="51"/>
  <c r="I51" i="51"/>
  <c r="I50" i="51"/>
  <c r="I49" i="51"/>
  <c r="I48" i="51"/>
  <c r="I44" i="51"/>
  <c r="I43" i="51"/>
  <c r="I42" i="51"/>
  <c r="I41" i="51"/>
  <c r="I40" i="51"/>
  <c r="I39" i="51"/>
  <c r="I36" i="51"/>
  <c r="I35" i="51"/>
  <c r="I38" i="51"/>
  <c r="I25" i="51"/>
  <c r="I20" i="51"/>
  <c r="I29" i="51"/>
  <c r="I70" i="51"/>
  <c r="I61" i="51"/>
  <c r="I114" i="51"/>
  <c r="I103" i="51"/>
  <c r="I98" i="51"/>
  <c r="I30" i="51"/>
  <c r="I23" i="51"/>
  <c r="I104" i="51"/>
  <c r="I102" i="51"/>
  <c r="I32" i="51"/>
  <c r="I22" i="51"/>
  <c r="I33" i="51"/>
  <c r="I116" i="51"/>
  <c r="I34" i="51"/>
  <c r="I111" i="51"/>
  <c r="I101" i="51"/>
  <c r="I100" i="51"/>
  <c r="I112" i="51"/>
  <c r="I24" i="51"/>
  <c r="I65" i="51"/>
  <c r="I64" i="51"/>
  <c r="I72" i="51"/>
  <c r="I115" i="51"/>
  <c r="I69" i="51"/>
  <c r="I110" i="51"/>
  <c r="I113" i="51"/>
  <c r="I99" i="51"/>
  <c r="I71" i="51"/>
  <c r="I109" i="51"/>
  <c r="I94" i="51"/>
  <c r="I97" i="51"/>
  <c r="I95" i="51"/>
  <c r="I82" i="51"/>
  <c r="I73" i="51"/>
  <c r="I80" i="51"/>
  <c r="I77" i="51"/>
  <c r="I81" i="51"/>
  <c r="I89" i="51"/>
  <c r="I83" i="51"/>
  <c r="I88" i="51"/>
  <c r="I74" i="51"/>
  <c r="I66" i="51"/>
  <c r="I21" i="51"/>
  <c r="I78" i="51"/>
  <c r="I31" i="51"/>
  <c r="I26" i="51"/>
  <c r="I79" i="51"/>
  <c r="I90" i="51"/>
  <c r="I96" i="51"/>
  <c r="I84" i="51"/>
  <c r="D23" i="22"/>
  <c r="D52" i="22"/>
  <c r="L33" i="58" l="1"/>
  <c r="M28" i="58"/>
  <c r="K28" i="59"/>
  <c r="K30" i="59"/>
  <c r="K40" i="58"/>
  <c r="L23" i="59"/>
  <c r="M18" i="59"/>
  <c r="N61" i="59"/>
  <c r="O59" i="59"/>
  <c r="I150" i="58"/>
  <c r="P71" i="58"/>
  <c r="P156" i="34"/>
  <c r="O156" i="34"/>
  <c r="N156" i="34"/>
  <c r="M156" i="34"/>
  <c r="L156" i="34"/>
  <c r="K156" i="34"/>
  <c r="J156" i="34"/>
  <c r="I156" i="34"/>
  <c r="P166" i="20"/>
  <c r="O166" i="20"/>
  <c r="N166" i="20"/>
  <c r="M166" i="20"/>
  <c r="L166" i="20"/>
  <c r="K166" i="20"/>
  <c r="J166" i="20"/>
  <c r="I166" i="20"/>
  <c r="H29" i="19"/>
  <c r="J29" i="19" s="1"/>
  <c r="K29" i="19" s="1"/>
  <c r="H28" i="19"/>
  <c r="J28" i="19" s="1"/>
  <c r="H27" i="19"/>
  <c r="H26" i="19"/>
  <c r="J26" i="19" s="1"/>
  <c r="H25" i="19"/>
  <c r="J25" i="19" s="1"/>
  <c r="K25" i="19" s="1"/>
  <c r="H24" i="19"/>
  <c r="J24" i="19" s="1"/>
  <c r="H23" i="19"/>
  <c r="H22" i="19"/>
  <c r="J22" i="19" s="1"/>
  <c r="H21" i="19"/>
  <c r="J21" i="19" s="1"/>
  <c r="K21" i="19" s="1"/>
  <c r="N36" i="4"/>
  <c r="K24" i="19" l="1"/>
  <c r="K28" i="19"/>
  <c r="J23" i="19"/>
  <c r="K23" i="19" s="1"/>
  <c r="J27" i="19"/>
  <c r="K27" i="19" s="1"/>
  <c r="K26" i="19"/>
  <c r="K32" i="59"/>
  <c r="M23" i="59"/>
  <c r="N18" i="59"/>
  <c r="L30" i="59"/>
  <c r="L28" i="59"/>
  <c r="M33" i="58"/>
  <c r="N28" i="58"/>
  <c r="L40" i="58"/>
  <c r="P59" i="59"/>
  <c r="O61" i="59"/>
  <c r="I152" i="58"/>
  <c r="J150" i="58"/>
  <c r="K22" i="19"/>
  <c r="CJ2" i="40"/>
  <c r="CI2" i="40"/>
  <c r="AV2" i="40"/>
  <c r="AU2" i="40"/>
  <c r="AT2" i="40"/>
  <c r="AM2" i="40"/>
  <c r="AN2" i="40"/>
  <c r="AP2" i="40"/>
  <c r="AR2" i="40"/>
  <c r="AK2" i="40"/>
  <c r="AJ2" i="40"/>
  <c r="AH2" i="40"/>
  <c r="AD2" i="40"/>
  <c r="AE2" i="40"/>
  <c r="AF2" i="40"/>
  <c r="AG2" i="40"/>
  <c r="AC2" i="40"/>
  <c r="AB2" i="40"/>
  <c r="G2" i="40"/>
  <c r="E2" i="40"/>
  <c r="C2" i="40"/>
  <c r="D2" i="40"/>
  <c r="A2" i="40"/>
  <c r="B2" i="40"/>
  <c r="K30" i="19" l="1"/>
  <c r="K44" i="19" s="1"/>
  <c r="J63" i="34" s="1"/>
  <c r="J61" i="66" s="1"/>
  <c r="M40" i="58"/>
  <c r="L32" i="59"/>
  <c r="O18" i="59"/>
  <c r="N23" i="59"/>
  <c r="N33" i="58"/>
  <c r="O28" i="58"/>
  <c r="M28" i="59"/>
  <c r="M30" i="59"/>
  <c r="J152" i="58"/>
  <c r="K150" i="58"/>
  <c r="I140" i="59"/>
  <c r="P61" i="59"/>
  <c r="C163" i="34"/>
  <c r="C162" i="34"/>
  <c r="C161" i="34"/>
  <c r="C154" i="34"/>
  <c r="C153" i="34"/>
  <c r="D103" i="34"/>
  <c r="D102" i="34"/>
  <c r="C173" i="20"/>
  <c r="C172" i="20"/>
  <c r="C171" i="20"/>
  <c r="C164" i="20"/>
  <c r="C153" i="65" s="1"/>
  <c r="C163" i="20"/>
  <c r="C152" i="65" s="1"/>
  <c r="D113" i="20"/>
  <c r="D112" i="20"/>
  <c r="P28" i="58" l="1"/>
  <c r="O33" i="58"/>
  <c r="N30" i="59"/>
  <c r="N28" i="59"/>
  <c r="N40" i="58"/>
  <c r="M32" i="59"/>
  <c r="O23" i="59"/>
  <c r="P18" i="59"/>
  <c r="I142" i="59"/>
  <c r="J140" i="59"/>
  <c r="L150" i="58"/>
  <c r="K152" i="58"/>
  <c r="AL2" i="40"/>
  <c r="I99" i="59" l="1"/>
  <c r="P23" i="59"/>
  <c r="P33" i="58"/>
  <c r="I109" i="58"/>
  <c r="O40" i="58"/>
  <c r="O30" i="59"/>
  <c r="O28" i="59"/>
  <c r="N32" i="59"/>
  <c r="M150" i="58"/>
  <c r="L152" i="58"/>
  <c r="K140" i="59"/>
  <c r="J142" i="59"/>
  <c r="AO2" i="40"/>
  <c r="AQ2" i="40"/>
  <c r="K75" i="20"/>
  <c r="K63" i="65" s="1"/>
  <c r="J65" i="34"/>
  <c r="J60" i="34"/>
  <c r="J58" i="66" s="1"/>
  <c r="J59" i="34"/>
  <c r="J57" i="66" s="1"/>
  <c r="J56" i="34"/>
  <c r="J54" i="66" s="1"/>
  <c r="J55" i="34"/>
  <c r="J54" i="34"/>
  <c r="J52" i="66" s="1"/>
  <c r="J53" i="34"/>
  <c r="J52" i="34"/>
  <c r="J51" i="34"/>
  <c r="J50" i="34"/>
  <c r="J48" i="66" s="1"/>
  <c r="J49" i="34"/>
  <c r="J47" i="66" s="1"/>
  <c r="J48" i="34"/>
  <c r="J46" i="66" s="1"/>
  <c r="J47" i="34"/>
  <c r="J46" i="34"/>
  <c r="J45" i="34"/>
  <c r="J44" i="34"/>
  <c r="J43" i="34"/>
  <c r="J42" i="34"/>
  <c r="J41" i="34"/>
  <c r="J40" i="34"/>
  <c r="J38" i="66" s="1"/>
  <c r="J39" i="34"/>
  <c r="J38" i="34"/>
  <c r="P165" i="34"/>
  <c r="P165" i="66" s="1"/>
  <c r="O165" i="34"/>
  <c r="O165" i="66" s="1"/>
  <c r="N165" i="34"/>
  <c r="N165" i="66" s="1"/>
  <c r="M165" i="34"/>
  <c r="M165" i="66" s="1"/>
  <c r="L165" i="34"/>
  <c r="L165" i="66" s="1"/>
  <c r="K165" i="34"/>
  <c r="K165" i="66" s="1"/>
  <c r="J165" i="34"/>
  <c r="J165" i="66" s="1"/>
  <c r="I165" i="34"/>
  <c r="I165" i="66" s="1"/>
  <c r="P112" i="34"/>
  <c r="O112" i="34"/>
  <c r="N112" i="34"/>
  <c r="M112" i="34"/>
  <c r="L112" i="34"/>
  <c r="K112" i="34"/>
  <c r="J112" i="34"/>
  <c r="I112" i="34"/>
  <c r="D94" i="34"/>
  <c r="D92" i="34"/>
  <c r="P84" i="34"/>
  <c r="P83" i="66" s="1"/>
  <c r="O84" i="34"/>
  <c r="O83" i="66" s="1"/>
  <c r="N84" i="34"/>
  <c r="N83" i="66" s="1"/>
  <c r="M84" i="34"/>
  <c r="M83" i="66" s="1"/>
  <c r="L84" i="34"/>
  <c r="L83" i="66" s="1"/>
  <c r="K84" i="34"/>
  <c r="K83" i="66" s="1"/>
  <c r="J84" i="34"/>
  <c r="J83" i="66" s="1"/>
  <c r="P75" i="34"/>
  <c r="O75" i="34"/>
  <c r="N75" i="34"/>
  <c r="M75" i="34"/>
  <c r="L75" i="34"/>
  <c r="K75" i="34"/>
  <c r="J75" i="34"/>
  <c r="K63" i="34"/>
  <c r="K61" i="66" s="1"/>
  <c r="K60" i="34"/>
  <c r="P31" i="34"/>
  <c r="O31" i="34"/>
  <c r="N31" i="34"/>
  <c r="M31" i="34"/>
  <c r="L31" i="34"/>
  <c r="K31" i="34"/>
  <c r="J31" i="34"/>
  <c r="K22" i="34"/>
  <c r="K21" i="34"/>
  <c r="L21" i="34" s="1"/>
  <c r="D11" i="34"/>
  <c r="K54" i="34" l="1"/>
  <c r="J59" i="66"/>
  <c r="K48" i="34"/>
  <c r="L48" i="34" s="1"/>
  <c r="L75" i="20"/>
  <c r="K59" i="34"/>
  <c r="K61" i="34" s="1"/>
  <c r="K49" i="34"/>
  <c r="K47" i="66" s="1"/>
  <c r="L54" i="34"/>
  <c r="K52" i="66"/>
  <c r="K41" i="34"/>
  <c r="J39" i="66"/>
  <c r="K56" i="34"/>
  <c r="K42" i="34"/>
  <c r="J40" i="66"/>
  <c r="K51" i="34"/>
  <c r="J49" i="66"/>
  <c r="K65" i="34"/>
  <c r="J63" i="66"/>
  <c r="K43" i="34"/>
  <c r="J41" i="66"/>
  <c r="L60" i="34"/>
  <c r="K58" i="66"/>
  <c r="K44" i="34"/>
  <c r="J42" i="66"/>
  <c r="K19" i="66"/>
  <c r="K52" i="34"/>
  <c r="J50" i="66"/>
  <c r="L22" i="34"/>
  <c r="K20" i="66"/>
  <c r="K45" i="34"/>
  <c r="J43" i="66"/>
  <c r="K53" i="34"/>
  <c r="J51" i="66"/>
  <c r="K40" i="34"/>
  <c r="K38" i="34"/>
  <c r="J36" i="66"/>
  <c r="K46" i="34"/>
  <c r="J44" i="66"/>
  <c r="K47" i="34"/>
  <c r="J45" i="66"/>
  <c r="K55" i="34"/>
  <c r="J53" i="66"/>
  <c r="K39" i="34"/>
  <c r="J37" i="66"/>
  <c r="L63" i="34"/>
  <c r="O32" i="59"/>
  <c r="I114" i="58"/>
  <c r="J109" i="58"/>
  <c r="I104" i="59"/>
  <c r="J99" i="59"/>
  <c r="P40" i="58"/>
  <c r="P30" i="59"/>
  <c r="P28" i="59"/>
  <c r="J61" i="34"/>
  <c r="L140" i="59"/>
  <c r="K142" i="59"/>
  <c r="M152" i="58"/>
  <c r="N150" i="58"/>
  <c r="K50" i="34"/>
  <c r="H31" i="6"/>
  <c r="L22" i="2"/>
  <c r="S2" i="40" s="1"/>
  <c r="L21" i="2"/>
  <c r="T2" i="40" s="1"/>
  <c r="L19" i="2"/>
  <c r="L18" i="2"/>
  <c r="L17" i="2"/>
  <c r="L16" i="2"/>
  <c r="L15" i="2"/>
  <c r="L14" i="2"/>
  <c r="L13" i="2"/>
  <c r="L12" i="2"/>
  <c r="L11" i="2"/>
  <c r="L10" i="2"/>
  <c r="G140" i="28"/>
  <c r="G78" i="28"/>
  <c r="G134" i="27"/>
  <c r="G76" i="27"/>
  <c r="D104" i="20"/>
  <c r="D102" i="20"/>
  <c r="D67" i="15"/>
  <c r="K46" i="66" l="1"/>
  <c r="L49" i="34"/>
  <c r="L47" i="66" s="1"/>
  <c r="L63" i="65"/>
  <c r="M75" i="20"/>
  <c r="K57" i="66"/>
  <c r="K59" i="66" s="1"/>
  <c r="L59" i="34"/>
  <c r="L43" i="34"/>
  <c r="K41" i="66"/>
  <c r="L42" i="34"/>
  <c r="K40" i="66"/>
  <c r="M48" i="34"/>
  <c r="L46" i="66"/>
  <c r="L46" i="34"/>
  <c r="K44" i="66"/>
  <c r="M21" i="34"/>
  <c r="L19" i="66"/>
  <c r="L65" i="34"/>
  <c r="K63" i="66"/>
  <c r="M22" i="34"/>
  <c r="L20" i="66"/>
  <c r="L41" i="34"/>
  <c r="K39" i="66"/>
  <c r="L39" i="34"/>
  <c r="K37" i="66"/>
  <c r="L38" i="34"/>
  <c r="K36" i="66"/>
  <c r="L44" i="34"/>
  <c r="K42" i="66"/>
  <c r="L51" i="34"/>
  <c r="K49" i="66"/>
  <c r="L40" i="34"/>
  <c r="K38" i="66"/>
  <c r="M54" i="34"/>
  <c r="L52" i="66"/>
  <c r="L55" i="34"/>
  <c r="K53" i="66"/>
  <c r="L52" i="34"/>
  <c r="K50" i="66"/>
  <c r="M60" i="34"/>
  <c r="L58" i="66"/>
  <c r="L53" i="34"/>
  <c r="K51" i="66"/>
  <c r="M49" i="34"/>
  <c r="L50" i="34"/>
  <c r="K48" i="66"/>
  <c r="L47" i="34"/>
  <c r="K45" i="66"/>
  <c r="L45" i="34"/>
  <c r="K43" i="66"/>
  <c r="L56" i="34"/>
  <c r="K54" i="66"/>
  <c r="M63" i="34"/>
  <c r="L61" i="66"/>
  <c r="I109" i="59"/>
  <c r="I111" i="59"/>
  <c r="K109" i="58"/>
  <c r="J114" i="58"/>
  <c r="I121" i="58"/>
  <c r="P32" i="59"/>
  <c r="J104" i="59"/>
  <c r="K99" i="59"/>
  <c r="R2" i="40"/>
  <c r="O150" i="58"/>
  <c r="N152" i="58"/>
  <c r="M140" i="59"/>
  <c r="L142" i="59"/>
  <c r="Q2" i="40"/>
  <c r="P2" i="40"/>
  <c r="O2" i="40"/>
  <c r="N2" i="40"/>
  <c r="E12" i="26"/>
  <c r="E21" i="25"/>
  <c r="D28" i="22"/>
  <c r="D27" i="22"/>
  <c r="D24" i="22"/>
  <c r="D19" i="22"/>
  <c r="D18" i="22"/>
  <c r="D17" i="22"/>
  <c r="D8" i="22"/>
  <c r="N153" i="28"/>
  <c r="BQ2" i="40" s="1"/>
  <c r="K89" i="28"/>
  <c r="K91" i="28" s="1"/>
  <c r="N162" i="27"/>
  <c r="BP2" i="40" s="1"/>
  <c r="P175" i="20"/>
  <c r="P165" i="65" s="1"/>
  <c r="O175" i="20"/>
  <c r="O165" i="65" s="1"/>
  <c r="N175" i="20"/>
  <c r="N165" i="65" s="1"/>
  <c r="M175" i="20"/>
  <c r="M165" i="65" s="1"/>
  <c r="L175" i="20"/>
  <c r="L165" i="65" s="1"/>
  <c r="K175" i="20"/>
  <c r="K165" i="65" s="1"/>
  <c r="J175" i="20"/>
  <c r="J165" i="65" s="1"/>
  <c r="I175" i="20"/>
  <c r="I165" i="65" s="1"/>
  <c r="J41" i="20"/>
  <c r="J122" i="20"/>
  <c r="P122" i="20"/>
  <c r="O122" i="20"/>
  <c r="N122" i="20"/>
  <c r="M122" i="20"/>
  <c r="L122" i="20"/>
  <c r="K122" i="20"/>
  <c r="I122" i="20"/>
  <c r="P94" i="20"/>
  <c r="P83" i="65" s="1"/>
  <c r="O94" i="20"/>
  <c r="O83" i="65" s="1"/>
  <c r="N94" i="20"/>
  <c r="N83" i="65" s="1"/>
  <c r="M94" i="20"/>
  <c r="M83" i="65" s="1"/>
  <c r="L94" i="20"/>
  <c r="L83" i="65" s="1"/>
  <c r="K94" i="20"/>
  <c r="K83" i="65" s="1"/>
  <c r="J94" i="20"/>
  <c r="J83" i="65" s="1"/>
  <c r="P85" i="20"/>
  <c r="O85" i="20"/>
  <c r="N85" i="20"/>
  <c r="M85" i="20"/>
  <c r="L85" i="20"/>
  <c r="K85" i="20"/>
  <c r="J85" i="20"/>
  <c r="J71" i="20"/>
  <c r="K70" i="20"/>
  <c r="K69" i="20"/>
  <c r="K66" i="20"/>
  <c r="K65" i="20"/>
  <c r="K64" i="20"/>
  <c r="K63" i="20"/>
  <c r="K62" i="20"/>
  <c r="K61" i="20"/>
  <c r="K60" i="20"/>
  <c r="K59" i="20"/>
  <c r="K58" i="20"/>
  <c r="K57" i="20"/>
  <c r="K56" i="20"/>
  <c r="K55" i="20"/>
  <c r="K54" i="20"/>
  <c r="K53" i="20"/>
  <c r="K41" i="65" s="1"/>
  <c r="K52" i="20"/>
  <c r="K51" i="20"/>
  <c r="K50" i="20"/>
  <c r="K49" i="20"/>
  <c r="K48" i="20"/>
  <c r="P41" i="20"/>
  <c r="O41" i="20"/>
  <c r="N41" i="20"/>
  <c r="M41" i="20"/>
  <c r="L41" i="20"/>
  <c r="K41" i="20"/>
  <c r="K31" i="20"/>
  <c r="K32" i="20"/>
  <c r="P30" i="19"/>
  <c r="P44" i="19" s="1"/>
  <c r="O30" i="19"/>
  <c r="O44" i="19" s="1"/>
  <c r="N30" i="19"/>
  <c r="N44" i="19" s="1"/>
  <c r="M30" i="19"/>
  <c r="M44" i="19" s="1"/>
  <c r="P20" i="19"/>
  <c r="P32" i="19" s="1"/>
  <c r="O20" i="19"/>
  <c r="O32" i="19" s="1"/>
  <c r="N20" i="19"/>
  <c r="N32" i="19" s="1"/>
  <c r="H30" i="18"/>
  <c r="J30" i="18" s="1"/>
  <c r="K30" i="18" s="1"/>
  <c r="H29" i="18"/>
  <c r="J29" i="18" s="1"/>
  <c r="K29" i="18" s="1"/>
  <c r="H28" i="18"/>
  <c r="J28" i="18" s="1"/>
  <c r="K28" i="18" s="1"/>
  <c r="H27" i="18"/>
  <c r="J27" i="18" s="1"/>
  <c r="K27" i="18" s="1"/>
  <c r="H26" i="18"/>
  <c r="J26" i="18" s="1"/>
  <c r="K26" i="18" s="1"/>
  <c r="H21" i="18"/>
  <c r="J21" i="18" s="1"/>
  <c r="H20" i="18"/>
  <c r="J20" i="18" s="1"/>
  <c r="K20" i="18" s="1"/>
  <c r="H19" i="18"/>
  <c r="H18" i="18"/>
  <c r="J18" i="18" s="1"/>
  <c r="K18" i="18" s="1"/>
  <c r="H17" i="18"/>
  <c r="J17" i="18" s="1"/>
  <c r="K17" i="18" s="1"/>
  <c r="G38" i="17"/>
  <c r="F38" i="17"/>
  <c r="H37" i="17"/>
  <c r="H36" i="17"/>
  <c r="H35" i="17"/>
  <c r="H27" i="17"/>
  <c r="H25" i="17"/>
  <c r="F30" i="17"/>
  <c r="G30" i="17"/>
  <c r="H29" i="17"/>
  <c r="H28" i="17"/>
  <c r="H26" i="17"/>
  <c r="G20" i="17"/>
  <c r="F20" i="17"/>
  <c r="H19" i="17"/>
  <c r="H18" i="17"/>
  <c r="H17" i="17"/>
  <c r="H16" i="17"/>
  <c r="N75" i="20" l="1"/>
  <c r="M63" i="65"/>
  <c r="L57" i="66"/>
  <c r="L59" i="66" s="1"/>
  <c r="M59" i="34"/>
  <c r="L61" i="34"/>
  <c r="BR2" i="40"/>
  <c r="L54" i="20"/>
  <c r="K42" i="65"/>
  <c r="L62" i="20"/>
  <c r="K50" i="65"/>
  <c r="L32" i="20"/>
  <c r="K20" i="65"/>
  <c r="L48" i="20"/>
  <c r="K36" i="65"/>
  <c r="L55" i="20"/>
  <c r="K43" i="65"/>
  <c r="L63" i="20"/>
  <c r="K51" i="65"/>
  <c r="M45" i="34"/>
  <c r="L43" i="66"/>
  <c r="M53" i="34"/>
  <c r="L51" i="66"/>
  <c r="M55" i="34"/>
  <c r="L53" i="66"/>
  <c r="L31" i="20"/>
  <c r="K19" i="65"/>
  <c r="L49" i="20"/>
  <c r="K37" i="65"/>
  <c r="L56" i="20"/>
  <c r="K44" i="65"/>
  <c r="L64" i="20"/>
  <c r="K52" i="65"/>
  <c r="M44" i="34"/>
  <c r="L42" i="66"/>
  <c r="N22" i="34"/>
  <c r="M20" i="66"/>
  <c r="N48" i="34"/>
  <c r="M46" i="66"/>
  <c r="L50" i="20"/>
  <c r="K38" i="65"/>
  <c r="L57" i="20"/>
  <c r="K45" i="65"/>
  <c r="L65" i="20"/>
  <c r="K53" i="65"/>
  <c r="M47" i="34"/>
  <c r="L45" i="66"/>
  <c r="L51" i="20"/>
  <c r="K39" i="65"/>
  <c r="L58" i="20"/>
  <c r="K46" i="65"/>
  <c r="L66" i="20"/>
  <c r="K54" i="65"/>
  <c r="N54" i="34"/>
  <c r="M52" i="66"/>
  <c r="M38" i="34"/>
  <c r="L36" i="66"/>
  <c r="M65" i="34"/>
  <c r="L63" i="66"/>
  <c r="M42" i="34"/>
  <c r="L40" i="66"/>
  <c r="L52" i="20"/>
  <c r="K40" i="65"/>
  <c r="L59" i="20"/>
  <c r="K47" i="65"/>
  <c r="L69" i="20"/>
  <c r="K57" i="65"/>
  <c r="M50" i="34"/>
  <c r="L48" i="66"/>
  <c r="N60" i="34"/>
  <c r="M58" i="66"/>
  <c r="L60" i="20"/>
  <c r="K48" i="65"/>
  <c r="L70" i="20"/>
  <c r="K58" i="65"/>
  <c r="CK2" i="40"/>
  <c r="M40" i="34"/>
  <c r="L38" i="66"/>
  <c r="M39" i="34"/>
  <c r="L37" i="66"/>
  <c r="N21" i="34"/>
  <c r="M19" i="66"/>
  <c r="M43" i="34"/>
  <c r="L41" i="66"/>
  <c r="L53" i="20"/>
  <c r="L61" i="20"/>
  <c r="K49" i="65"/>
  <c r="M56" i="34"/>
  <c r="L54" i="66"/>
  <c r="N49" i="34"/>
  <c r="M47" i="66"/>
  <c r="M52" i="34"/>
  <c r="L50" i="66"/>
  <c r="M51" i="34"/>
  <c r="L49" i="66"/>
  <c r="M41" i="34"/>
  <c r="L39" i="66"/>
  <c r="M46" i="34"/>
  <c r="L44" i="66"/>
  <c r="N63" i="34"/>
  <c r="M61" i="66"/>
  <c r="K73" i="58"/>
  <c r="J121" i="58"/>
  <c r="K114" i="58"/>
  <c r="L109" i="58"/>
  <c r="K104" i="59"/>
  <c r="L99" i="59"/>
  <c r="J109" i="59"/>
  <c r="J111" i="59"/>
  <c r="I113" i="59"/>
  <c r="M142" i="59"/>
  <c r="N140" i="59"/>
  <c r="O152" i="58"/>
  <c r="P150" i="58"/>
  <c r="P152" i="58" s="1"/>
  <c r="CQ2" i="40"/>
  <c r="J73" i="20"/>
  <c r="J61" i="65" s="1"/>
  <c r="K71" i="20"/>
  <c r="K31" i="18"/>
  <c r="J19" i="18"/>
  <c r="K19" i="18" s="1"/>
  <c r="K21" i="18"/>
  <c r="H38" i="17"/>
  <c r="H30" i="17"/>
  <c r="H20" i="17"/>
  <c r="M26" i="57" s="1"/>
  <c r="D25" i="16"/>
  <c r="M24" i="16"/>
  <c r="L24" i="16"/>
  <c r="I24" i="16"/>
  <c r="K24" i="16" s="1"/>
  <c r="M22" i="16"/>
  <c r="L22" i="16"/>
  <c r="M21" i="16"/>
  <c r="L21" i="16"/>
  <c r="M20" i="16"/>
  <c r="L20" i="16"/>
  <c r="M19" i="16"/>
  <c r="L19" i="16"/>
  <c r="M18" i="16"/>
  <c r="L18" i="16"/>
  <c r="M17" i="16"/>
  <c r="L17" i="16"/>
  <c r="M16" i="16"/>
  <c r="L16" i="16"/>
  <c r="M15" i="16"/>
  <c r="L15" i="16"/>
  <c r="M14" i="16"/>
  <c r="L14" i="16"/>
  <c r="M13" i="16"/>
  <c r="L13" i="16"/>
  <c r="M12" i="16"/>
  <c r="L12" i="16"/>
  <c r="M11" i="16"/>
  <c r="L11" i="16"/>
  <c r="I22" i="16"/>
  <c r="K22" i="16" s="1"/>
  <c r="I21" i="16"/>
  <c r="K21" i="16" s="1"/>
  <c r="I20" i="16"/>
  <c r="K20" i="16" s="1"/>
  <c r="I19" i="16"/>
  <c r="K19" i="16" s="1"/>
  <c r="I18" i="16"/>
  <c r="K18" i="16" s="1"/>
  <c r="I17" i="16"/>
  <c r="K17" i="16" s="1"/>
  <c r="I16" i="16"/>
  <c r="K16" i="16" s="1"/>
  <c r="I15" i="16"/>
  <c r="K15" i="16" s="1"/>
  <c r="I14" i="16"/>
  <c r="K14" i="16" s="1"/>
  <c r="I13" i="16"/>
  <c r="K13" i="16" s="1"/>
  <c r="I12" i="16"/>
  <c r="K12" i="16" s="1"/>
  <c r="I11" i="16"/>
  <c r="K11" i="16" s="1"/>
  <c r="M10" i="16"/>
  <c r="L10" i="16"/>
  <c r="I10" i="16"/>
  <c r="K10" i="16" s="1"/>
  <c r="L102" i="15"/>
  <c r="L104" i="15" s="1"/>
  <c r="K102" i="15"/>
  <c r="K104" i="15" s="1"/>
  <c r="J102" i="15"/>
  <c r="J104" i="15" s="1"/>
  <c r="I102" i="15"/>
  <c r="I104" i="15" s="1"/>
  <c r="H102" i="15"/>
  <c r="H104" i="15" s="1"/>
  <c r="G102" i="15"/>
  <c r="G104" i="15" s="1"/>
  <c r="F102" i="15"/>
  <c r="F104" i="15" s="1"/>
  <c r="E102" i="15"/>
  <c r="E104" i="15" s="1"/>
  <c r="E50" i="15"/>
  <c r="M73" i="15"/>
  <c r="M72" i="15"/>
  <c r="M100" i="15"/>
  <c r="M99" i="15"/>
  <c r="M98" i="15"/>
  <c r="M97" i="15"/>
  <c r="M96" i="15"/>
  <c r="M95" i="15"/>
  <c r="M94" i="15"/>
  <c r="M93" i="15"/>
  <c r="M85" i="15"/>
  <c r="M87" i="15"/>
  <c r="M86" i="15"/>
  <c r="M83" i="15"/>
  <c r="M82" i="15"/>
  <c r="M81" i="15"/>
  <c r="M80" i="15"/>
  <c r="M79" i="15"/>
  <c r="M75" i="15"/>
  <c r="M74" i="15"/>
  <c r="N18" i="16" l="1"/>
  <c r="N22" i="16"/>
  <c r="N19" i="16"/>
  <c r="K22" i="18"/>
  <c r="J36" i="34" s="1"/>
  <c r="J57" i="34" s="1"/>
  <c r="J66" i="34" s="1"/>
  <c r="N24" i="16"/>
  <c r="O75" i="20"/>
  <c r="N63" i="65"/>
  <c r="M57" i="66"/>
  <c r="M59" i="66" s="1"/>
  <c r="N59" i="34"/>
  <c r="M61" i="34"/>
  <c r="N39" i="34"/>
  <c r="M37" i="66"/>
  <c r="K47" i="20"/>
  <c r="K37" i="59"/>
  <c r="L37" i="59" s="1"/>
  <c r="M37" i="59" s="1"/>
  <c r="N37" i="59" s="1"/>
  <c r="O37" i="59" s="1"/>
  <c r="P37" i="59" s="1"/>
  <c r="I118" i="59" s="1"/>
  <c r="J118" i="59" s="1"/>
  <c r="K118" i="59" s="1"/>
  <c r="L118" i="59" s="1"/>
  <c r="M118" i="59" s="1"/>
  <c r="N118" i="59" s="1"/>
  <c r="O118" i="59" s="1"/>
  <c r="P118" i="59" s="1"/>
  <c r="K47" i="58"/>
  <c r="L47" i="58" s="1"/>
  <c r="M47" i="58" s="1"/>
  <c r="N47" i="58" s="1"/>
  <c r="O47" i="58" s="1"/>
  <c r="P47" i="58" s="1"/>
  <c r="I128" i="58" s="1"/>
  <c r="J128" i="58" s="1"/>
  <c r="K128" i="58" s="1"/>
  <c r="L128" i="58" s="1"/>
  <c r="M128" i="58" s="1"/>
  <c r="N128" i="58" s="1"/>
  <c r="O128" i="58" s="1"/>
  <c r="P128" i="58" s="1"/>
  <c r="N21" i="16"/>
  <c r="M53" i="20"/>
  <c r="L41" i="65"/>
  <c r="N40" i="34"/>
  <c r="M38" i="66"/>
  <c r="M52" i="20"/>
  <c r="L40" i="65"/>
  <c r="O54" i="34"/>
  <c r="N52" i="66"/>
  <c r="N47" i="34"/>
  <c r="M45" i="66"/>
  <c r="O48" i="34"/>
  <c r="N46" i="66"/>
  <c r="N12" i="16"/>
  <c r="N16" i="16"/>
  <c r="N52" i="34"/>
  <c r="M50" i="66"/>
  <c r="N50" i="34"/>
  <c r="M48" i="66"/>
  <c r="M56" i="20"/>
  <c r="L44" i="65"/>
  <c r="N53" i="34"/>
  <c r="M51" i="66"/>
  <c r="M48" i="20"/>
  <c r="L36" i="65"/>
  <c r="N42" i="34"/>
  <c r="M40" i="66"/>
  <c r="M66" i="20"/>
  <c r="L54" i="65"/>
  <c r="M65" i="20"/>
  <c r="L53" i="65"/>
  <c r="O22" i="34"/>
  <c r="N20" i="66"/>
  <c r="N46" i="34"/>
  <c r="M44" i="66"/>
  <c r="O49" i="34"/>
  <c r="N47" i="66"/>
  <c r="M70" i="20"/>
  <c r="L58" i="65"/>
  <c r="K59" i="65"/>
  <c r="M49" i="20"/>
  <c r="L37" i="65"/>
  <c r="N45" i="34"/>
  <c r="M43" i="66"/>
  <c r="M32" i="20"/>
  <c r="L20" i="65"/>
  <c r="N43" i="34"/>
  <c r="M41" i="66"/>
  <c r="N17" i="16"/>
  <c r="L71" i="20"/>
  <c r="O21" i="34"/>
  <c r="N19" i="66"/>
  <c r="M69" i="20"/>
  <c r="L57" i="65"/>
  <c r="N65" i="34"/>
  <c r="M63" i="66"/>
  <c r="M58" i="20"/>
  <c r="L46" i="65"/>
  <c r="M57" i="20"/>
  <c r="L45" i="65"/>
  <c r="N44" i="34"/>
  <c r="M42" i="66"/>
  <c r="N20" i="16"/>
  <c r="N41" i="34"/>
  <c r="M39" i="66"/>
  <c r="N56" i="34"/>
  <c r="M54" i="66"/>
  <c r="M60" i="20"/>
  <c r="L48" i="65"/>
  <c r="M31" i="20"/>
  <c r="L19" i="65"/>
  <c r="M63" i="20"/>
  <c r="L51" i="65"/>
  <c r="M62" i="20"/>
  <c r="L50" i="65"/>
  <c r="M59" i="20"/>
  <c r="L47" i="65"/>
  <c r="N38" i="34"/>
  <c r="M36" i="66"/>
  <c r="M51" i="20"/>
  <c r="L39" i="65"/>
  <c r="M50" i="20"/>
  <c r="L38" i="65"/>
  <c r="N51" i="34"/>
  <c r="M49" i="66"/>
  <c r="M61" i="20"/>
  <c r="L49" i="65"/>
  <c r="O60" i="34"/>
  <c r="N58" i="66"/>
  <c r="M64" i="20"/>
  <c r="L52" i="65"/>
  <c r="N55" i="34"/>
  <c r="M53" i="66"/>
  <c r="M55" i="20"/>
  <c r="L43" i="65"/>
  <c r="M54" i="20"/>
  <c r="L42" i="65"/>
  <c r="N13" i="16"/>
  <c r="N15" i="16"/>
  <c r="O63" i="34"/>
  <c r="N61" i="66"/>
  <c r="CD2" i="40"/>
  <c r="J23" i="66"/>
  <c r="J35" i="58"/>
  <c r="L73" i="58"/>
  <c r="J35" i="65"/>
  <c r="CB2" i="40"/>
  <c r="J30" i="58"/>
  <c r="J33" i="58" s="1"/>
  <c r="J20" i="59"/>
  <c r="J23" i="59" s="1"/>
  <c r="J113" i="59"/>
  <c r="L114" i="58"/>
  <c r="M109" i="58"/>
  <c r="L104" i="59"/>
  <c r="M99" i="59"/>
  <c r="K121" i="58"/>
  <c r="K111" i="59"/>
  <c r="K109" i="59"/>
  <c r="N14" i="16"/>
  <c r="O140" i="59"/>
  <c r="N142" i="59"/>
  <c r="CL2" i="40"/>
  <c r="K73" i="20"/>
  <c r="N11" i="16"/>
  <c r="M25" i="16"/>
  <c r="N10" i="16"/>
  <c r="L25" i="16"/>
  <c r="J28" i="20" s="1"/>
  <c r="CC2" i="40"/>
  <c r="J18" i="65"/>
  <c r="J46" i="20"/>
  <c r="K33" i="18"/>
  <c r="M88" i="15"/>
  <c r="M102" i="15"/>
  <c r="M76" i="15"/>
  <c r="C72" i="15"/>
  <c r="L50" i="15"/>
  <c r="K50" i="15"/>
  <c r="J50" i="15"/>
  <c r="I50" i="15"/>
  <c r="H50" i="15"/>
  <c r="G50" i="15"/>
  <c r="F50" i="15"/>
  <c r="L36" i="15"/>
  <c r="K36" i="15"/>
  <c r="J36" i="15"/>
  <c r="I36" i="15"/>
  <c r="H36" i="15"/>
  <c r="G36" i="15"/>
  <c r="F36" i="15"/>
  <c r="L24" i="15"/>
  <c r="K24" i="15"/>
  <c r="J24" i="15"/>
  <c r="I24" i="15"/>
  <c r="H24" i="15"/>
  <c r="G24" i="15"/>
  <c r="F24" i="15"/>
  <c r="E24" i="15"/>
  <c r="E38" i="15" s="1"/>
  <c r="E52" i="15" s="1"/>
  <c r="C87" i="15"/>
  <c r="C86" i="15"/>
  <c r="C83" i="15"/>
  <c r="C82" i="15"/>
  <c r="C29" i="15"/>
  <c r="C81" i="15" s="1"/>
  <c r="C28" i="15"/>
  <c r="C80" i="15" s="1"/>
  <c r="C27" i="15"/>
  <c r="C79" i="15" s="1"/>
  <c r="C23" i="15"/>
  <c r="C75" i="15" s="1"/>
  <c r="C22" i="15"/>
  <c r="C74" i="15" s="1"/>
  <c r="C21" i="15"/>
  <c r="C73" i="15" s="1"/>
  <c r="F42" i="14"/>
  <c r="E42" i="14"/>
  <c r="F30" i="14"/>
  <c r="E30" i="14"/>
  <c r="F18" i="14"/>
  <c r="E18" i="14"/>
  <c r="I52" i="13"/>
  <c r="I53" i="13" s="1"/>
  <c r="I48" i="13"/>
  <c r="I47" i="13"/>
  <c r="I46" i="13"/>
  <c r="I45" i="13"/>
  <c r="I41" i="13"/>
  <c r="I40" i="13"/>
  <c r="I38" i="13"/>
  <c r="I37" i="13"/>
  <c r="I33" i="13"/>
  <c r="I32" i="13"/>
  <c r="I31" i="13"/>
  <c r="I30" i="13"/>
  <c r="I29" i="13"/>
  <c r="I28" i="13"/>
  <c r="I27" i="13"/>
  <c r="I26" i="13"/>
  <c r="I22" i="13"/>
  <c r="I21" i="13"/>
  <c r="I20" i="13"/>
  <c r="I19" i="13"/>
  <c r="I18" i="13"/>
  <c r="I17" i="13"/>
  <c r="I16" i="13"/>
  <c r="I15" i="13"/>
  <c r="I11" i="13"/>
  <c r="I12" i="13" s="1"/>
  <c r="G50" i="12"/>
  <c r="G26" i="12"/>
  <c r="J29" i="11"/>
  <c r="J108" i="11"/>
  <c r="J77" i="11"/>
  <c r="J64" i="11"/>
  <c r="O63" i="65" l="1"/>
  <c r="P75" i="20"/>
  <c r="J23" i="65"/>
  <c r="K35" i="58"/>
  <c r="N57" i="66"/>
  <c r="N59" i="66" s="1"/>
  <c r="O59" i="34"/>
  <c r="N61" i="34"/>
  <c r="K36" i="34"/>
  <c r="L36" i="34" s="1"/>
  <c r="J34" i="66"/>
  <c r="N59" i="20"/>
  <c r="M47" i="65"/>
  <c r="N60" i="20"/>
  <c r="M48" i="65"/>
  <c r="O44" i="34"/>
  <c r="N42" i="66"/>
  <c r="N69" i="20"/>
  <c r="M57" i="65"/>
  <c r="M71" i="20"/>
  <c r="N32" i="20"/>
  <c r="M20" i="65"/>
  <c r="N64" i="20"/>
  <c r="M52" i="65"/>
  <c r="P49" i="34"/>
  <c r="O47" i="66"/>
  <c r="M54" i="65"/>
  <c r="N66" i="20"/>
  <c r="N56" i="20"/>
  <c r="M44" i="65"/>
  <c r="P48" i="34"/>
  <c r="O46" i="66"/>
  <c r="O40" i="34"/>
  <c r="N38" i="66"/>
  <c r="N50" i="20"/>
  <c r="M38" i="65"/>
  <c r="N62" i="20"/>
  <c r="M50" i="65"/>
  <c r="O56" i="34"/>
  <c r="N54" i="66"/>
  <c r="N57" i="20"/>
  <c r="M45" i="65"/>
  <c r="P21" i="34"/>
  <c r="O19" i="66"/>
  <c r="O45" i="34"/>
  <c r="N43" i="66"/>
  <c r="N54" i="20"/>
  <c r="M42" i="65"/>
  <c r="P60" i="34"/>
  <c r="O58" i="66"/>
  <c r="O46" i="34"/>
  <c r="N44" i="66"/>
  <c r="O42" i="34"/>
  <c r="N40" i="66"/>
  <c r="O50" i="34"/>
  <c r="N48" i="66"/>
  <c r="O47" i="34"/>
  <c r="N45" i="66"/>
  <c r="N53" i="20"/>
  <c r="M41" i="65"/>
  <c r="N51" i="20"/>
  <c r="M39" i="65"/>
  <c r="N63" i="20"/>
  <c r="M51" i="65"/>
  <c r="O41" i="34"/>
  <c r="N39" i="66"/>
  <c r="N58" i="20"/>
  <c r="M46" i="65"/>
  <c r="N49" i="20"/>
  <c r="M37" i="65"/>
  <c r="O39" i="34"/>
  <c r="N37" i="66"/>
  <c r="CG2" i="40"/>
  <c r="N55" i="20"/>
  <c r="M43" i="65"/>
  <c r="N61" i="20"/>
  <c r="M49" i="65"/>
  <c r="P22" i="34"/>
  <c r="O20" i="66"/>
  <c r="N48" i="20"/>
  <c r="M36" i="65"/>
  <c r="O52" i="34"/>
  <c r="N50" i="66"/>
  <c r="P54" i="34"/>
  <c r="O52" i="66"/>
  <c r="J57" i="59"/>
  <c r="J66" i="59" s="1"/>
  <c r="K36" i="59"/>
  <c r="O38" i="34"/>
  <c r="N36" i="66"/>
  <c r="N31" i="20"/>
  <c r="M19" i="65"/>
  <c r="O65" i="34"/>
  <c r="N63" i="66"/>
  <c r="O43" i="34"/>
  <c r="N41" i="66"/>
  <c r="K46" i="58"/>
  <c r="J67" i="58"/>
  <c r="J76" i="58" s="1"/>
  <c r="O55" i="34"/>
  <c r="N53" i="66"/>
  <c r="O51" i="34"/>
  <c r="N49" i="66"/>
  <c r="L59" i="65"/>
  <c r="N70" i="20"/>
  <c r="M58" i="65"/>
  <c r="N65" i="20"/>
  <c r="M53" i="65"/>
  <c r="O53" i="34"/>
  <c r="N51" i="66"/>
  <c r="N52" i="20"/>
  <c r="M40" i="65"/>
  <c r="J35" i="66"/>
  <c r="K37" i="34"/>
  <c r="J29" i="20"/>
  <c r="J17" i="65" s="1"/>
  <c r="M26" i="16"/>
  <c r="P63" i="34"/>
  <c r="O61" i="66"/>
  <c r="M73" i="58"/>
  <c r="L73" i="20"/>
  <c r="K61" i="65"/>
  <c r="CF2" i="40"/>
  <c r="J34" i="65"/>
  <c r="J55" i="65" s="1"/>
  <c r="J64" i="65" s="1"/>
  <c r="L47" i="20"/>
  <c r="K35" i="65"/>
  <c r="J30" i="59"/>
  <c r="J28" i="59"/>
  <c r="J40" i="58"/>
  <c r="J38" i="58"/>
  <c r="J18" i="66"/>
  <c r="K113" i="59"/>
  <c r="L121" i="58"/>
  <c r="M104" i="59"/>
  <c r="N99" i="59"/>
  <c r="L109" i="59"/>
  <c r="L111" i="59"/>
  <c r="M114" i="58"/>
  <c r="N109" i="58"/>
  <c r="P140" i="59"/>
  <c r="P142" i="59" s="1"/>
  <c r="O142" i="59"/>
  <c r="F38" i="15"/>
  <c r="F52" i="15" s="1"/>
  <c r="J38" i="15"/>
  <c r="J52" i="15" s="1"/>
  <c r="N25" i="16"/>
  <c r="J18" i="34"/>
  <c r="H38" i="15"/>
  <c r="H52" i="15" s="1"/>
  <c r="L38" i="15"/>
  <c r="L52" i="15" s="1"/>
  <c r="M90" i="15"/>
  <c r="M104" i="15" s="1"/>
  <c r="BY2" i="40"/>
  <c r="BZ2" i="40"/>
  <c r="F44" i="14"/>
  <c r="BX2" i="40" s="1"/>
  <c r="F32" i="14"/>
  <c r="F20" i="14"/>
  <c r="BS2" i="40" s="1"/>
  <c r="I49" i="13"/>
  <c r="I42" i="13"/>
  <c r="I34" i="13"/>
  <c r="I23" i="13"/>
  <c r="G38" i="15"/>
  <c r="G52" i="15" s="1"/>
  <c r="K38" i="15"/>
  <c r="K52" i="15" s="1"/>
  <c r="J67" i="20"/>
  <c r="K46" i="20"/>
  <c r="I38" i="15"/>
  <c r="I52" i="15" s="1"/>
  <c r="J120" i="11"/>
  <c r="F18" i="12" s="1"/>
  <c r="F23" i="12" s="1"/>
  <c r="F25" i="12" s="1"/>
  <c r="F28" i="12" s="1"/>
  <c r="U116" i="9"/>
  <c r="T116" i="9"/>
  <c r="Q116" i="9"/>
  <c r="P116" i="9"/>
  <c r="O116" i="9"/>
  <c r="N116" i="9"/>
  <c r="M116" i="9"/>
  <c r="L116" i="9"/>
  <c r="U105" i="9"/>
  <c r="T105" i="9"/>
  <c r="Q105" i="9"/>
  <c r="P105" i="9"/>
  <c r="O105" i="9"/>
  <c r="N105" i="9"/>
  <c r="M105" i="9"/>
  <c r="L105" i="9"/>
  <c r="U91" i="9"/>
  <c r="T91" i="9"/>
  <c r="Q91" i="9"/>
  <c r="P91" i="9"/>
  <c r="O91" i="9"/>
  <c r="N91" i="9"/>
  <c r="M91" i="9"/>
  <c r="L91" i="9"/>
  <c r="U85" i="9"/>
  <c r="T85" i="9"/>
  <c r="Q85" i="9"/>
  <c r="P85" i="9"/>
  <c r="O85" i="9"/>
  <c r="N85" i="9"/>
  <c r="M85" i="9"/>
  <c r="L85" i="9"/>
  <c r="U74" i="9"/>
  <c r="T74" i="9"/>
  <c r="Q74" i="9"/>
  <c r="P74" i="9"/>
  <c r="O74" i="9"/>
  <c r="N74" i="9"/>
  <c r="M74" i="9"/>
  <c r="L74" i="9"/>
  <c r="U66" i="9"/>
  <c r="T66" i="9"/>
  <c r="Q66" i="9"/>
  <c r="P66" i="9"/>
  <c r="O66" i="9"/>
  <c r="N66" i="9"/>
  <c r="M66" i="9"/>
  <c r="L66" i="9"/>
  <c r="U61" i="9"/>
  <c r="T61" i="9"/>
  <c r="Q61" i="9"/>
  <c r="P61" i="9"/>
  <c r="O61" i="9"/>
  <c r="N61" i="9"/>
  <c r="M61" i="9"/>
  <c r="L61" i="9"/>
  <c r="U45" i="9"/>
  <c r="T45" i="9"/>
  <c r="Q45" i="9"/>
  <c r="P45" i="9"/>
  <c r="O45" i="9"/>
  <c r="N45" i="9"/>
  <c r="M45" i="9"/>
  <c r="L45" i="9"/>
  <c r="U26" i="9"/>
  <c r="T26" i="9"/>
  <c r="Q26" i="9"/>
  <c r="Q119" i="9" s="1"/>
  <c r="P26" i="9"/>
  <c r="P119" i="9" s="1"/>
  <c r="O26" i="9"/>
  <c r="N26" i="9"/>
  <c r="M26" i="9"/>
  <c r="L26" i="9"/>
  <c r="S115" i="9"/>
  <c r="M110" i="63" s="1"/>
  <c r="S114" i="9"/>
  <c r="M109" i="63" s="1"/>
  <c r="S113" i="9"/>
  <c r="M108" i="63" s="1"/>
  <c r="S112" i="9"/>
  <c r="M107" i="63" s="1"/>
  <c r="S111" i="9"/>
  <c r="M106" i="63" s="1"/>
  <c r="S110" i="9"/>
  <c r="M105" i="63" s="1"/>
  <c r="S109" i="9"/>
  <c r="M104" i="63" s="1"/>
  <c r="S104" i="9"/>
  <c r="M99" i="63" s="1"/>
  <c r="S103" i="9"/>
  <c r="M98" i="63" s="1"/>
  <c r="S102" i="9"/>
  <c r="M97" i="63" s="1"/>
  <c r="S101" i="9"/>
  <c r="M96" i="63" s="1"/>
  <c r="S100" i="9"/>
  <c r="M95" i="63" s="1"/>
  <c r="S99" i="9"/>
  <c r="M94" i="63" s="1"/>
  <c r="S98" i="9"/>
  <c r="M93" i="63" s="1"/>
  <c r="S97" i="9"/>
  <c r="M92" i="63" s="1"/>
  <c r="S96" i="9"/>
  <c r="M91" i="63" s="1"/>
  <c r="S95" i="9"/>
  <c r="M90" i="63" s="1"/>
  <c r="S94" i="9"/>
  <c r="M89" i="63" s="1"/>
  <c r="S90" i="9"/>
  <c r="M85" i="63" s="1"/>
  <c r="S89" i="9"/>
  <c r="M84" i="63" s="1"/>
  <c r="S88" i="9"/>
  <c r="M83" i="63" s="1"/>
  <c r="S84" i="9"/>
  <c r="M79" i="63" s="1"/>
  <c r="S83" i="9"/>
  <c r="M78" i="63" s="1"/>
  <c r="S82" i="9"/>
  <c r="M77" i="63" s="1"/>
  <c r="S81" i="9"/>
  <c r="M76" i="63" s="1"/>
  <c r="S80" i="9"/>
  <c r="M75" i="63" s="1"/>
  <c r="S79" i="9"/>
  <c r="M74" i="63" s="1"/>
  <c r="S78" i="9"/>
  <c r="M73" i="63" s="1"/>
  <c r="S77" i="9"/>
  <c r="M72" i="63" s="1"/>
  <c r="S73" i="9"/>
  <c r="M68" i="63" s="1"/>
  <c r="S72" i="9"/>
  <c r="M67" i="63" s="1"/>
  <c r="S71" i="9"/>
  <c r="M66" i="63" s="1"/>
  <c r="S70" i="9"/>
  <c r="M65" i="63" s="1"/>
  <c r="S69" i="9"/>
  <c r="M64" i="63" s="1"/>
  <c r="S65" i="9"/>
  <c r="M60" i="63" s="1"/>
  <c r="S64" i="9"/>
  <c r="M59" i="63" s="1"/>
  <c r="S60" i="9"/>
  <c r="M55" i="63" s="1"/>
  <c r="S59" i="9"/>
  <c r="M54" i="63" s="1"/>
  <c r="S58" i="9"/>
  <c r="M53" i="63" s="1"/>
  <c r="S57" i="9"/>
  <c r="M52" i="63" s="1"/>
  <c r="S56" i="9"/>
  <c r="M51" i="63" s="1"/>
  <c r="S55" i="9"/>
  <c r="M50" i="63" s="1"/>
  <c r="S54" i="9"/>
  <c r="M49" i="63" s="1"/>
  <c r="S53" i="9"/>
  <c r="M48" i="63" s="1"/>
  <c r="S52" i="9"/>
  <c r="M47" i="63" s="1"/>
  <c r="S51" i="9"/>
  <c r="M46" i="63" s="1"/>
  <c r="S50" i="9"/>
  <c r="M45" i="63" s="1"/>
  <c r="S49" i="9"/>
  <c r="M44" i="63" s="1"/>
  <c r="S48" i="9"/>
  <c r="M43" i="63" s="1"/>
  <c r="S44" i="9"/>
  <c r="M39" i="63" s="1"/>
  <c r="S43" i="9"/>
  <c r="M38" i="63" s="1"/>
  <c r="S42" i="9"/>
  <c r="M37" i="63" s="1"/>
  <c r="S41" i="9"/>
  <c r="M36" i="63" s="1"/>
  <c r="S40" i="9"/>
  <c r="M35" i="63" s="1"/>
  <c r="S39" i="9"/>
  <c r="M34" i="63" s="1"/>
  <c r="S38" i="9"/>
  <c r="M33" i="63" s="1"/>
  <c r="S37" i="9"/>
  <c r="M32" i="63" s="1"/>
  <c r="S36" i="9"/>
  <c r="M31" i="63" s="1"/>
  <c r="S35" i="9"/>
  <c r="M30" i="63" s="1"/>
  <c r="S34" i="9"/>
  <c r="M29" i="63" s="1"/>
  <c r="S33" i="9"/>
  <c r="M28" i="63" s="1"/>
  <c r="S32" i="9"/>
  <c r="M27" i="63" s="1"/>
  <c r="S31" i="9"/>
  <c r="M26" i="63" s="1"/>
  <c r="S30" i="9"/>
  <c r="M25" i="63" s="1"/>
  <c r="S29" i="9"/>
  <c r="M24" i="63" s="1"/>
  <c r="S25" i="9"/>
  <c r="M20" i="63" s="1"/>
  <c r="S24" i="9"/>
  <c r="M19" i="63" s="1"/>
  <c r="S23" i="9"/>
  <c r="M18" i="63" s="1"/>
  <c r="S22" i="9"/>
  <c r="M17" i="63" s="1"/>
  <c r="S21" i="9"/>
  <c r="M16" i="63" s="1"/>
  <c r="K115" i="9"/>
  <c r="K114" i="9"/>
  <c r="L109" i="63" s="1"/>
  <c r="K113" i="9"/>
  <c r="L108" i="63" s="1"/>
  <c r="K108" i="63" s="1"/>
  <c r="J108" i="63" s="1"/>
  <c r="K112" i="9"/>
  <c r="K111" i="9"/>
  <c r="K110" i="9"/>
  <c r="L105" i="63" s="1"/>
  <c r="K109" i="9"/>
  <c r="L104" i="63" s="1"/>
  <c r="K104" i="9"/>
  <c r="L99" i="63" s="1"/>
  <c r="K103" i="9"/>
  <c r="L98" i="63" s="1"/>
  <c r="K102" i="9"/>
  <c r="L97" i="63" s="1"/>
  <c r="K101" i="9"/>
  <c r="L96" i="63" s="1"/>
  <c r="K100" i="9"/>
  <c r="K99" i="9"/>
  <c r="K98" i="9"/>
  <c r="L93" i="63" s="1"/>
  <c r="K97" i="9"/>
  <c r="K96" i="9"/>
  <c r="K95" i="9"/>
  <c r="K94" i="9"/>
  <c r="L89" i="63" s="1"/>
  <c r="K89" i="63" s="1"/>
  <c r="J89" i="63" s="1"/>
  <c r="K90" i="9"/>
  <c r="L85" i="63" s="1"/>
  <c r="K85" i="63" s="1"/>
  <c r="J85" i="63" s="1"/>
  <c r="K89" i="9"/>
  <c r="K88" i="9"/>
  <c r="K84" i="9"/>
  <c r="L79" i="63" s="1"/>
  <c r="K83" i="9"/>
  <c r="L78" i="63" s="1"/>
  <c r="K82" i="9"/>
  <c r="L77" i="63" s="1"/>
  <c r="K81" i="9"/>
  <c r="L76" i="63" s="1"/>
  <c r="K76" i="63" s="1"/>
  <c r="J76" i="63" s="1"/>
  <c r="K80" i="9"/>
  <c r="L75" i="63" s="1"/>
  <c r="K75" i="63" s="1"/>
  <c r="J75" i="63" s="1"/>
  <c r="K79" i="9"/>
  <c r="L74" i="63" s="1"/>
  <c r="K78" i="9"/>
  <c r="L73" i="63" s="1"/>
  <c r="K73" i="63" s="1"/>
  <c r="J73" i="63" s="1"/>
  <c r="K77" i="9"/>
  <c r="L72" i="63" s="1"/>
  <c r="K73" i="9"/>
  <c r="L68" i="63" s="1"/>
  <c r="K72" i="9"/>
  <c r="L67" i="63" s="1"/>
  <c r="K67" i="63" s="1"/>
  <c r="J67" i="63" s="1"/>
  <c r="K71" i="9"/>
  <c r="K70" i="9"/>
  <c r="K69" i="9"/>
  <c r="L64" i="63" s="1"/>
  <c r="K65" i="9"/>
  <c r="L60" i="63" s="1"/>
  <c r="K64" i="9"/>
  <c r="K60" i="9"/>
  <c r="K59" i="9"/>
  <c r="L54" i="63" s="1"/>
  <c r="K58" i="9"/>
  <c r="L53" i="63" s="1"/>
  <c r="K53" i="63" s="1"/>
  <c r="J53" i="63" s="1"/>
  <c r="K57" i="9"/>
  <c r="L52" i="63" s="1"/>
  <c r="K56" i="9"/>
  <c r="L51" i="63" s="1"/>
  <c r="K51" i="63" s="1"/>
  <c r="J51" i="63" s="1"/>
  <c r="K55" i="9"/>
  <c r="L50" i="63" s="1"/>
  <c r="K54" i="9"/>
  <c r="L49" i="63" s="1"/>
  <c r="K49" i="63" s="1"/>
  <c r="J49" i="63" s="1"/>
  <c r="K53" i="9"/>
  <c r="L48" i="63" s="1"/>
  <c r="K48" i="63" s="1"/>
  <c r="J48" i="63" s="1"/>
  <c r="K52" i="9"/>
  <c r="K51" i="9"/>
  <c r="L46" i="63" s="1"/>
  <c r="K50" i="9"/>
  <c r="L45" i="63" s="1"/>
  <c r="K45" i="63" s="1"/>
  <c r="J45" i="63" s="1"/>
  <c r="K49" i="9"/>
  <c r="K48" i="9"/>
  <c r="L43" i="63" s="1"/>
  <c r="K44" i="9"/>
  <c r="L39" i="63" s="1"/>
  <c r="K39" i="63" s="1"/>
  <c r="J39" i="63" s="1"/>
  <c r="K43" i="9"/>
  <c r="L38" i="63" s="1"/>
  <c r="K42" i="9"/>
  <c r="K41" i="9"/>
  <c r="L36" i="63" s="1"/>
  <c r="K40" i="9"/>
  <c r="L35" i="63" s="1"/>
  <c r="K39" i="9"/>
  <c r="L34" i="63" s="1"/>
  <c r="K34" i="63" s="1"/>
  <c r="J34" i="63" s="1"/>
  <c r="K38" i="9"/>
  <c r="K37" i="9"/>
  <c r="L32" i="63" s="1"/>
  <c r="K36" i="9"/>
  <c r="L31" i="63" s="1"/>
  <c r="K31" i="63" s="1"/>
  <c r="J31" i="63" s="1"/>
  <c r="K35" i="9"/>
  <c r="L30" i="63" s="1"/>
  <c r="K30" i="63" s="1"/>
  <c r="J30" i="63" s="1"/>
  <c r="K34" i="9"/>
  <c r="K33" i="9"/>
  <c r="L28" i="63" s="1"/>
  <c r="K32" i="9"/>
  <c r="L27" i="63" s="1"/>
  <c r="K31" i="9"/>
  <c r="L26" i="63" s="1"/>
  <c r="K26" i="63" s="1"/>
  <c r="J26" i="63" s="1"/>
  <c r="K30" i="9"/>
  <c r="K29" i="9"/>
  <c r="L24" i="63" s="1"/>
  <c r="S20" i="9"/>
  <c r="M15" i="63" s="1"/>
  <c r="G16" i="28"/>
  <c r="G16" i="27"/>
  <c r="D10" i="26"/>
  <c r="D18" i="25"/>
  <c r="D15" i="24"/>
  <c r="D10" i="23"/>
  <c r="D5" i="22"/>
  <c r="D10" i="21"/>
  <c r="D21" i="20"/>
  <c r="D15" i="19"/>
  <c r="D11" i="18"/>
  <c r="D9" i="17"/>
  <c r="D5" i="16"/>
  <c r="D13" i="15"/>
  <c r="D11" i="14"/>
  <c r="E5" i="13"/>
  <c r="E9" i="12"/>
  <c r="F13" i="11"/>
  <c r="F9" i="10"/>
  <c r="F13" i="9"/>
  <c r="D62" i="8"/>
  <c r="D11" i="8"/>
  <c r="D5" i="7"/>
  <c r="D14" i="6"/>
  <c r="D15" i="4"/>
  <c r="D5" i="3"/>
  <c r="D5" i="2"/>
  <c r="K52" i="63" l="1"/>
  <c r="J52" i="63" s="1"/>
  <c r="K77" i="63"/>
  <c r="J77" i="63" s="1"/>
  <c r="K99" i="63"/>
  <c r="J99" i="63" s="1"/>
  <c r="M61" i="63"/>
  <c r="K27" i="63"/>
  <c r="J27" i="63" s="1"/>
  <c r="K35" i="63"/>
  <c r="J35" i="63" s="1"/>
  <c r="K46" i="63"/>
  <c r="J46" i="63" s="1"/>
  <c r="K54" i="63"/>
  <c r="J54" i="63" s="1"/>
  <c r="K79" i="63"/>
  <c r="J79" i="63" s="1"/>
  <c r="L35" i="58"/>
  <c r="K23" i="65"/>
  <c r="K38" i="58"/>
  <c r="K42" i="58" s="1"/>
  <c r="P63" i="65"/>
  <c r="I156" i="20"/>
  <c r="O57" i="66"/>
  <c r="O59" i="66" s="1"/>
  <c r="P59" i="34"/>
  <c r="O61" i="34"/>
  <c r="K57" i="34"/>
  <c r="K66" i="34" s="1"/>
  <c r="J55" i="66"/>
  <c r="J64" i="66" s="1"/>
  <c r="K29" i="20"/>
  <c r="L29" i="20" s="1"/>
  <c r="K34" i="65"/>
  <c r="K55" i="65" s="1"/>
  <c r="K64" i="65" s="1"/>
  <c r="L36" i="59"/>
  <c r="L34" i="66" s="1"/>
  <c r="K57" i="59"/>
  <c r="K66" i="59" s="1"/>
  <c r="K68" i="59" s="1"/>
  <c r="P39" i="34"/>
  <c r="O37" i="66"/>
  <c r="P41" i="34"/>
  <c r="O39" i="66"/>
  <c r="P47" i="34"/>
  <c r="O45" i="66"/>
  <c r="I141" i="34"/>
  <c r="P58" i="66"/>
  <c r="O57" i="20"/>
  <c r="N45" i="65"/>
  <c r="P40" i="34"/>
  <c r="O38" i="66"/>
  <c r="I130" i="34"/>
  <c r="P47" i="66"/>
  <c r="K105" i="63"/>
  <c r="J105" i="63" s="1"/>
  <c r="O52" i="20"/>
  <c r="N40" i="65"/>
  <c r="P43" i="34"/>
  <c r="O41" i="66"/>
  <c r="I103" i="34"/>
  <c r="P20" i="66"/>
  <c r="P44" i="34"/>
  <c r="O42" i="66"/>
  <c r="K38" i="63"/>
  <c r="J38" i="63" s="1"/>
  <c r="P51" i="34"/>
  <c r="O49" i="66"/>
  <c r="O63" i="20"/>
  <c r="N51" i="65"/>
  <c r="P50" i="34"/>
  <c r="O48" i="66"/>
  <c r="O54" i="20"/>
  <c r="N42" i="65"/>
  <c r="P56" i="34"/>
  <c r="O54" i="66"/>
  <c r="I129" i="34"/>
  <c r="P46" i="66"/>
  <c r="O64" i="20"/>
  <c r="N52" i="65"/>
  <c r="P53" i="34"/>
  <c r="O51" i="66"/>
  <c r="P65" i="34"/>
  <c r="O63" i="66"/>
  <c r="I135" i="34"/>
  <c r="P52" i="66"/>
  <c r="O61" i="20"/>
  <c r="N49" i="65"/>
  <c r="O60" i="20"/>
  <c r="N48" i="65"/>
  <c r="P55" i="34"/>
  <c r="O53" i="66"/>
  <c r="O49" i="20"/>
  <c r="N37" i="65"/>
  <c r="O51" i="20"/>
  <c r="N39" i="65"/>
  <c r="P42" i="34"/>
  <c r="O40" i="66"/>
  <c r="P45" i="34"/>
  <c r="O43" i="66"/>
  <c r="O62" i="20"/>
  <c r="N50" i="65"/>
  <c r="O56" i="20"/>
  <c r="N44" i="65"/>
  <c r="O32" i="20"/>
  <c r="N20" i="65"/>
  <c r="K109" i="63"/>
  <c r="J109" i="63" s="1"/>
  <c r="O65" i="20"/>
  <c r="N53" i="65"/>
  <c r="O31" i="20"/>
  <c r="N19" i="65"/>
  <c r="P52" i="34"/>
  <c r="O50" i="66"/>
  <c r="O55" i="20"/>
  <c r="N43" i="65"/>
  <c r="O66" i="20"/>
  <c r="N54" i="65"/>
  <c r="O59" i="20"/>
  <c r="N47" i="65"/>
  <c r="M111" i="63"/>
  <c r="L37" i="34"/>
  <c r="K35" i="66"/>
  <c r="O58" i="20"/>
  <c r="N46" i="65"/>
  <c r="O53" i="20"/>
  <c r="N41" i="65"/>
  <c r="P46" i="34"/>
  <c r="O44" i="66"/>
  <c r="I102" i="34"/>
  <c r="P19" i="66"/>
  <c r="O50" i="20"/>
  <c r="N38" i="65"/>
  <c r="M59" i="65"/>
  <c r="K34" i="66"/>
  <c r="O70" i="20"/>
  <c r="N58" i="65"/>
  <c r="K67" i="58"/>
  <c r="K76" i="58" s="1"/>
  <c r="L46" i="58"/>
  <c r="P38" i="34"/>
  <c r="O36" i="66"/>
  <c r="O48" i="20"/>
  <c r="N36" i="65"/>
  <c r="O69" i="20"/>
  <c r="N57" i="65"/>
  <c r="N59" i="65" s="1"/>
  <c r="N71" i="20"/>
  <c r="K74" i="63"/>
  <c r="J74" i="63" s="1"/>
  <c r="K78" i="63"/>
  <c r="J78" i="63" s="1"/>
  <c r="M80" i="63"/>
  <c r="K28" i="63"/>
  <c r="J28" i="63" s="1"/>
  <c r="I41" i="11"/>
  <c r="L33" i="63"/>
  <c r="K33" i="63" s="1"/>
  <c r="J33" i="63" s="1"/>
  <c r="I55" i="11"/>
  <c r="K55" i="11" s="1"/>
  <c r="L47" i="63"/>
  <c r="K47" i="63" s="1"/>
  <c r="J47" i="63" s="1"/>
  <c r="I67" i="11"/>
  <c r="L59" i="63"/>
  <c r="K59" i="63" s="1"/>
  <c r="J59" i="63" s="1"/>
  <c r="I103" i="11"/>
  <c r="L95" i="63"/>
  <c r="K95" i="63" s="1"/>
  <c r="J95" i="63" s="1"/>
  <c r="L92" i="63"/>
  <c r="K92" i="63" s="1"/>
  <c r="J92" i="63" s="1"/>
  <c r="I117" i="11"/>
  <c r="L110" i="63"/>
  <c r="K110" i="63" s="1"/>
  <c r="J110" i="63" s="1"/>
  <c r="I144" i="34"/>
  <c r="P61" i="66"/>
  <c r="J32" i="59"/>
  <c r="J68" i="59" s="1"/>
  <c r="J77" i="59" s="1"/>
  <c r="J87" i="59" s="1"/>
  <c r="N73" i="58"/>
  <c r="M73" i="20"/>
  <c r="L61" i="65"/>
  <c r="M47" i="20"/>
  <c r="L35" i="65"/>
  <c r="J42" i="58"/>
  <c r="J78" i="58" s="1"/>
  <c r="L113" i="59"/>
  <c r="N104" i="59"/>
  <c r="O99" i="59"/>
  <c r="O109" i="58"/>
  <c r="N114" i="58"/>
  <c r="M121" i="58"/>
  <c r="M109" i="59"/>
  <c r="M111" i="59"/>
  <c r="K18" i="34"/>
  <c r="K16" i="66" s="1"/>
  <c r="K21" i="66" s="1"/>
  <c r="J16" i="66"/>
  <c r="J21" i="66" s="1"/>
  <c r="K28" i="20"/>
  <c r="K16" i="65" s="1"/>
  <c r="J16" i="65"/>
  <c r="J21" i="65" s="1"/>
  <c r="I113" i="11"/>
  <c r="L106" i="63"/>
  <c r="K106" i="63" s="1"/>
  <c r="J106" i="63" s="1"/>
  <c r="G38" i="12"/>
  <c r="G39" i="54"/>
  <c r="G41" i="54" s="1"/>
  <c r="G44" i="54" s="1"/>
  <c r="K98" i="63"/>
  <c r="J98" i="63" s="1"/>
  <c r="K96" i="63"/>
  <c r="J96" i="63" s="1"/>
  <c r="K93" i="63"/>
  <c r="J93" i="63" s="1"/>
  <c r="I98" i="11"/>
  <c r="K98" i="11" s="1"/>
  <c r="L90" i="63"/>
  <c r="BJ2" i="40"/>
  <c r="L83" i="63"/>
  <c r="K83" i="63" s="1"/>
  <c r="J83" i="63" s="1"/>
  <c r="I63" i="11"/>
  <c r="E63" i="11" s="1"/>
  <c r="L55" i="63"/>
  <c r="K55" i="63" s="1"/>
  <c r="J55" i="63" s="1"/>
  <c r="K97" i="63"/>
  <c r="J97" i="63" s="1"/>
  <c r="M100" i="63"/>
  <c r="K90" i="63"/>
  <c r="J90" i="63" s="1"/>
  <c r="M86" i="63"/>
  <c r="K68" i="63"/>
  <c r="J68" i="63" s="1"/>
  <c r="M69" i="63"/>
  <c r="M56" i="63"/>
  <c r="K50" i="63"/>
  <c r="J50" i="63" s="1"/>
  <c r="K36" i="63"/>
  <c r="J36" i="63" s="1"/>
  <c r="K32" i="63"/>
  <c r="J32" i="63" s="1"/>
  <c r="U119" i="9"/>
  <c r="M40" i="63"/>
  <c r="M21" i="63"/>
  <c r="I114" i="11"/>
  <c r="L107" i="63"/>
  <c r="K107" i="63" s="1"/>
  <c r="J107" i="63" s="1"/>
  <c r="K104" i="63"/>
  <c r="I102" i="11"/>
  <c r="L94" i="63"/>
  <c r="K94" i="63" s="1"/>
  <c r="J94" i="63" s="1"/>
  <c r="I99" i="11"/>
  <c r="L91" i="63"/>
  <c r="BL2" i="40"/>
  <c r="L84" i="63"/>
  <c r="L80" i="63"/>
  <c r="K72" i="63"/>
  <c r="I73" i="11"/>
  <c r="L65" i="63"/>
  <c r="K65" i="63" s="1"/>
  <c r="J65" i="63" s="1"/>
  <c r="I74" i="11"/>
  <c r="K74" i="11" s="1"/>
  <c r="L66" i="63"/>
  <c r="K66" i="63" s="1"/>
  <c r="J66" i="63" s="1"/>
  <c r="K64" i="63"/>
  <c r="K60" i="63"/>
  <c r="O119" i="9"/>
  <c r="I52" i="11"/>
  <c r="K52" i="11" s="1"/>
  <c r="L44" i="63"/>
  <c r="K44" i="63" s="1"/>
  <c r="J44" i="63" s="1"/>
  <c r="K43" i="63"/>
  <c r="I45" i="11"/>
  <c r="K45" i="11" s="1"/>
  <c r="L37" i="63"/>
  <c r="K37" i="63" s="1"/>
  <c r="J37" i="63" s="1"/>
  <c r="I37" i="11"/>
  <c r="K37" i="11" s="1"/>
  <c r="L29" i="63"/>
  <c r="K29" i="63" s="1"/>
  <c r="J29" i="63" s="1"/>
  <c r="I33" i="11"/>
  <c r="K33" i="11" s="1"/>
  <c r="L25" i="63"/>
  <c r="K25" i="63" s="1"/>
  <c r="J25" i="63" s="1"/>
  <c r="K24" i="63"/>
  <c r="N119" i="9"/>
  <c r="J76" i="20"/>
  <c r="CH2" i="40"/>
  <c r="M36" i="34"/>
  <c r="J23" i="34"/>
  <c r="J33" i="20"/>
  <c r="I55" i="13"/>
  <c r="F30" i="12"/>
  <c r="F32" i="12" s="1"/>
  <c r="L46" i="20"/>
  <c r="K67" i="20"/>
  <c r="K76" i="20" s="1"/>
  <c r="J33" i="9"/>
  <c r="S26" i="9"/>
  <c r="J57" i="9"/>
  <c r="BF2" i="40" s="1"/>
  <c r="S66" i="9"/>
  <c r="J40" i="9"/>
  <c r="I43" i="11"/>
  <c r="J84" i="9"/>
  <c r="I87" i="11"/>
  <c r="E87" i="11" s="1"/>
  <c r="J32" i="9"/>
  <c r="I35" i="11"/>
  <c r="J55" i="9"/>
  <c r="I58" i="11"/>
  <c r="K58" i="11" s="1"/>
  <c r="I61" i="10"/>
  <c r="I72" i="11"/>
  <c r="K72" i="11" s="1"/>
  <c r="J98" i="9"/>
  <c r="I101" i="11"/>
  <c r="K101" i="11" s="1"/>
  <c r="J110" i="9"/>
  <c r="I112" i="11"/>
  <c r="I24" i="10"/>
  <c r="I32" i="11"/>
  <c r="K32" i="11" s="1"/>
  <c r="I28" i="10"/>
  <c r="I36" i="11"/>
  <c r="I32" i="10"/>
  <c r="I40" i="11"/>
  <c r="K40" i="11" s="1"/>
  <c r="I36" i="10"/>
  <c r="I44" i="11"/>
  <c r="K44" i="11" s="1"/>
  <c r="I42" i="10"/>
  <c r="I51" i="11"/>
  <c r="I50" i="10"/>
  <c r="I59" i="11"/>
  <c r="K59" i="11" s="1"/>
  <c r="I68" i="10"/>
  <c r="I80" i="11"/>
  <c r="I72" i="10"/>
  <c r="I84" i="11"/>
  <c r="I78" i="10"/>
  <c r="I91" i="11"/>
  <c r="I92" i="10"/>
  <c r="I106" i="11"/>
  <c r="S116" i="9"/>
  <c r="J36" i="9"/>
  <c r="I39" i="11"/>
  <c r="I45" i="10"/>
  <c r="I54" i="11"/>
  <c r="K54" i="11" s="1"/>
  <c r="J59" i="9"/>
  <c r="I62" i="11"/>
  <c r="K62" i="11" s="1"/>
  <c r="J80" i="9"/>
  <c r="I83" i="11"/>
  <c r="J94" i="9"/>
  <c r="I97" i="11"/>
  <c r="J102" i="9"/>
  <c r="I105" i="11"/>
  <c r="K105" i="11" s="1"/>
  <c r="K108" i="11" s="1"/>
  <c r="I47" i="10"/>
  <c r="I56" i="11"/>
  <c r="K56" i="11" s="1"/>
  <c r="I51" i="10"/>
  <c r="I60" i="11"/>
  <c r="K60" i="11" s="1"/>
  <c r="I69" i="10"/>
  <c r="I81" i="11"/>
  <c r="I73" i="10"/>
  <c r="I85" i="11"/>
  <c r="I79" i="10"/>
  <c r="I92" i="11"/>
  <c r="I93" i="10"/>
  <c r="I107" i="11"/>
  <c r="J44" i="9"/>
  <c r="I47" i="11"/>
  <c r="E47" i="11" s="1"/>
  <c r="J73" i="9"/>
  <c r="I76" i="11"/>
  <c r="J114" i="9"/>
  <c r="I116" i="11"/>
  <c r="I26" i="10"/>
  <c r="I34" i="11"/>
  <c r="I30" i="10"/>
  <c r="I38" i="11"/>
  <c r="I34" i="10"/>
  <c r="I42" i="11"/>
  <c r="J43" i="9"/>
  <c r="I46" i="11"/>
  <c r="K46" i="11" s="1"/>
  <c r="J50" i="9"/>
  <c r="I53" i="11"/>
  <c r="K53" i="11" s="1"/>
  <c r="J54" i="9"/>
  <c r="I57" i="11"/>
  <c r="K57" i="11" s="1"/>
  <c r="I52" i="10"/>
  <c r="I61" i="11"/>
  <c r="K61" i="11" s="1"/>
  <c r="J65" i="9"/>
  <c r="I68" i="11"/>
  <c r="I69" i="11" s="1"/>
  <c r="J72" i="9"/>
  <c r="I75" i="11"/>
  <c r="K75" i="11" s="1"/>
  <c r="I70" i="10"/>
  <c r="I82" i="11"/>
  <c r="I74" i="10"/>
  <c r="I86" i="11"/>
  <c r="I80" i="10"/>
  <c r="I93" i="11"/>
  <c r="E93" i="11" s="1"/>
  <c r="J97" i="9"/>
  <c r="I100" i="11"/>
  <c r="I90" i="10"/>
  <c r="I104" i="11"/>
  <c r="J109" i="9"/>
  <c r="I111" i="11"/>
  <c r="J113" i="9"/>
  <c r="I115" i="11"/>
  <c r="S45" i="9"/>
  <c r="S61" i="9"/>
  <c r="S74" i="9"/>
  <c r="S85" i="9"/>
  <c r="S91" i="9"/>
  <c r="S105" i="9"/>
  <c r="I99" i="10"/>
  <c r="J70" i="9"/>
  <c r="J95" i="9"/>
  <c r="J99" i="9"/>
  <c r="J111" i="9"/>
  <c r="J30" i="9"/>
  <c r="J34" i="9"/>
  <c r="J38" i="9"/>
  <c r="J42" i="9"/>
  <c r="J49" i="9"/>
  <c r="J64" i="9"/>
  <c r="J71" i="9"/>
  <c r="J96" i="9"/>
  <c r="J100" i="9"/>
  <c r="J112" i="9"/>
  <c r="J56" i="9"/>
  <c r="BE2" i="40" s="1"/>
  <c r="J104" i="9"/>
  <c r="I31" i="10"/>
  <c r="I27" i="10"/>
  <c r="I39" i="10"/>
  <c r="I96" i="10"/>
  <c r="J77" i="9"/>
  <c r="M119" i="9"/>
  <c r="I44" i="10"/>
  <c r="I64" i="10"/>
  <c r="J52" i="9"/>
  <c r="J60" i="9"/>
  <c r="J115" i="9"/>
  <c r="J103" i="9"/>
  <c r="T119" i="9"/>
  <c r="I35" i="10"/>
  <c r="I48" i="10"/>
  <c r="I65" i="10"/>
  <c r="I100" i="10"/>
  <c r="I97" i="10"/>
  <c r="I101" i="10"/>
  <c r="I98" i="10"/>
  <c r="I102" i="10"/>
  <c r="I86" i="10"/>
  <c r="I87" i="10"/>
  <c r="I91" i="10"/>
  <c r="I84" i="10"/>
  <c r="I88" i="10"/>
  <c r="I85" i="10"/>
  <c r="I89" i="10"/>
  <c r="I83" i="10"/>
  <c r="I71" i="10"/>
  <c r="I75" i="10"/>
  <c r="J81" i="9"/>
  <c r="J82" i="9"/>
  <c r="I62" i="10"/>
  <c r="I63" i="10"/>
  <c r="I57" i="10"/>
  <c r="I58" i="10"/>
  <c r="I49" i="10"/>
  <c r="I53" i="10"/>
  <c r="I46" i="10"/>
  <c r="J53" i="9"/>
  <c r="I43" i="10"/>
  <c r="I54" i="10"/>
  <c r="I25" i="10"/>
  <c r="I29" i="10"/>
  <c r="I33" i="10"/>
  <c r="I37" i="10"/>
  <c r="I38" i="10"/>
  <c r="K116" i="9"/>
  <c r="J101" i="9"/>
  <c r="J90" i="9"/>
  <c r="J89" i="9"/>
  <c r="BK2" i="40" s="1"/>
  <c r="J88" i="9"/>
  <c r="BI2" i="40" s="1"/>
  <c r="K91" i="9"/>
  <c r="J83" i="9"/>
  <c r="J79" i="9"/>
  <c r="K85" i="9"/>
  <c r="J78" i="9"/>
  <c r="K74" i="9"/>
  <c r="J69" i="9"/>
  <c r="K66" i="9"/>
  <c r="J58" i="9"/>
  <c r="J51" i="9"/>
  <c r="K61" i="9"/>
  <c r="J48" i="9"/>
  <c r="J41" i="9"/>
  <c r="J39" i="9"/>
  <c r="J37" i="9"/>
  <c r="J35" i="9"/>
  <c r="AZ2" i="40" s="1"/>
  <c r="J31" i="9"/>
  <c r="K45" i="9"/>
  <c r="BD2" i="40" s="1"/>
  <c r="J29" i="9"/>
  <c r="L119" i="9"/>
  <c r="K105" i="9"/>
  <c r="J36" i="4"/>
  <c r="I36" i="4"/>
  <c r="H36" i="4"/>
  <c r="G36" i="4"/>
  <c r="F36" i="4"/>
  <c r="E36" i="4"/>
  <c r="K35" i="4"/>
  <c r="O35" i="4" s="1"/>
  <c r="K34" i="4"/>
  <c r="O34" i="4" s="1"/>
  <c r="K33" i="4"/>
  <c r="O33" i="4" s="1"/>
  <c r="K32" i="4"/>
  <c r="O32" i="4" s="1"/>
  <c r="K31" i="4"/>
  <c r="O31" i="4" s="1"/>
  <c r="K30" i="4"/>
  <c r="O30" i="4" s="1"/>
  <c r="K29" i="4"/>
  <c r="O29" i="4" s="1"/>
  <c r="K28" i="4"/>
  <c r="O28" i="4" s="1"/>
  <c r="K27" i="4"/>
  <c r="O27" i="4" s="1"/>
  <c r="K26" i="4"/>
  <c r="O26" i="4" s="1"/>
  <c r="K25" i="4"/>
  <c r="O25" i="4" s="1"/>
  <c r="K24" i="4"/>
  <c r="O24" i="4" s="1"/>
  <c r="K23" i="4"/>
  <c r="O23" i="4" s="1"/>
  <c r="K22" i="4"/>
  <c r="O22" i="4" s="1"/>
  <c r="K23" i="3"/>
  <c r="K22" i="3"/>
  <c r="K21" i="3"/>
  <c r="K20" i="3"/>
  <c r="K19" i="3"/>
  <c r="K18" i="3"/>
  <c r="K17" i="3"/>
  <c r="K16" i="3"/>
  <c r="K15" i="3"/>
  <c r="K14" i="3"/>
  <c r="K13" i="3"/>
  <c r="K12" i="3"/>
  <c r="K11" i="3"/>
  <c r="K10" i="3"/>
  <c r="J24" i="3"/>
  <c r="I24" i="3"/>
  <c r="H24" i="3"/>
  <c r="L25" i="2"/>
  <c r="K20" i="2"/>
  <c r="K23" i="2" s="1"/>
  <c r="Z2" i="40" s="1"/>
  <c r="J20" i="2"/>
  <c r="J23" i="2" s="1"/>
  <c r="Y2" i="40" s="1"/>
  <c r="I20" i="2"/>
  <c r="I23" i="2" s="1"/>
  <c r="X2" i="40" s="1"/>
  <c r="H20" i="2"/>
  <c r="H23" i="2" s="1"/>
  <c r="W2" i="40" s="1"/>
  <c r="G20" i="2"/>
  <c r="G23" i="2" s="1"/>
  <c r="V2" i="40" s="1"/>
  <c r="F20" i="2"/>
  <c r="F23" i="2" s="1"/>
  <c r="E20" i="2"/>
  <c r="E23" i="2" s="1"/>
  <c r="D20" i="2"/>
  <c r="D23" i="2" s="1"/>
  <c r="AA2" i="40" s="1"/>
  <c r="K55" i="66" l="1"/>
  <c r="K64" i="66" s="1"/>
  <c r="M35" i="58"/>
  <c r="L23" i="65"/>
  <c r="L38" i="58"/>
  <c r="L42" i="58" s="1"/>
  <c r="K17" i="65"/>
  <c r="K78" i="58"/>
  <c r="K86" i="58" s="1"/>
  <c r="K77" i="11"/>
  <c r="J156" i="20"/>
  <c r="I145" i="65"/>
  <c r="P57" i="66"/>
  <c r="P59" i="66" s="1"/>
  <c r="I140" i="34"/>
  <c r="P61" i="34"/>
  <c r="L34" i="65"/>
  <c r="L55" i="65" s="1"/>
  <c r="L64" i="65" s="1"/>
  <c r="K64" i="11"/>
  <c r="K48" i="11"/>
  <c r="L69" i="63"/>
  <c r="L61" i="63"/>
  <c r="L56" i="63"/>
  <c r="G30" i="63"/>
  <c r="L67" i="58"/>
  <c r="L76" i="58" s="1"/>
  <c r="L78" i="58" s="1"/>
  <c r="M46" i="58"/>
  <c r="P50" i="20"/>
  <c r="O38" i="65"/>
  <c r="P58" i="20"/>
  <c r="O46" i="65"/>
  <c r="J129" i="34"/>
  <c r="I128" i="66"/>
  <c r="P63" i="20"/>
  <c r="O51" i="65"/>
  <c r="J130" i="34"/>
  <c r="I129" i="66"/>
  <c r="I128" i="34"/>
  <c r="P45" i="66"/>
  <c r="P55" i="20"/>
  <c r="O43" i="65"/>
  <c r="I126" i="34"/>
  <c r="P43" i="66"/>
  <c r="I136" i="34"/>
  <c r="P53" i="66"/>
  <c r="I146" i="34"/>
  <c r="P63" i="66"/>
  <c r="J103" i="34"/>
  <c r="I102" i="66"/>
  <c r="J102" i="34"/>
  <c r="I101" i="66"/>
  <c r="M37" i="34"/>
  <c r="L35" i="66"/>
  <c r="L55" i="66" s="1"/>
  <c r="L64" i="66" s="1"/>
  <c r="I137" i="34"/>
  <c r="P54" i="66"/>
  <c r="I121" i="34"/>
  <c r="P38" i="66"/>
  <c r="I122" i="34"/>
  <c r="P39" i="66"/>
  <c r="L57" i="34"/>
  <c r="L66" i="34" s="1"/>
  <c r="P69" i="20"/>
  <c r="O57" i="65"/>
  <c r="O71" i="20"/>
  <c r="P70" i="20"/>
  <c r="O58" i="65"/>
  <c r="I133" i="34"/>
  <c r="P50" i="66"/>
  <c r="P32" i="20"/>
  <c r="O20" i="65"/>
  <c r="I123" i="34"/>
  <c r="P40" i="66"/>
  <c r="P60" i="20"/>
  <c r="O48" i="65"/>
  <c r="I134" i="34"/>
  <c r="P51" i="66"/>
  <c r="I124" i="34"/>
  <c r="P41" i="66"/>
  <c r="I127" i="34"/>
  <c r="P44" i="66"/>
  <c r="P54" i="20"/>
  <c r="O42" i="65"/>
  <c r="I132" i="34"/>
  <c r="P49" i="66"/>
  <c r="P57" i="20"/>
  <c r="O45" i="65"/>
  <c r="I120" i="34"/>
  <c r="P37" i="66"/>
  <c r="P48" i="20"/>
  <c r="O36" i="65"/>
  <c r="P59" i="20"/>
  <c r="O47" i="65"/>
  <c r="P31" i="20"/>
  <c r="O19" i="65"/>
  <c r="P56" i="20"/>
  <c r="O44" i="65"/>
  <c r="P51" i="20"/>
  <c r="O39" i="65"/>
  <c r="P61" i="20"/>
  <c r="O49" i="65"/>
  <c r="P52" i="20"/>
  <c r="O40" i="65"/>
  <c r="K77" i="59"/>
  <c r="K87" i="59" s="1"/>
  <c r="K86" i="59"/>
  <c r="K76" i="59"/>
  <c r="P53" i="20"/>
  <c r="O41" i="65"/>
  <c r="P64" i="20"/>
  <c r="O52" i="65"/>
  <c r="I131" i="34"/>
  <c r="P48" i="66"/>
  <c r="J141" i="34"/>
  <c r="I140" i="66"/>
  <c r="L57" i="59"/>
  <c r="L66" i="59" s="1"/>
  <c r="L68" i="59" s="1"/>
  <c r="M36" i="59"/>
  <c r="M34" i="66" s="1"/>
  <c r="I119" i="34"/>
  <c r="P36" i="66"/>
  <c r="P66" i="20"/>
  <c r="O54" i="65"/>
  <c r="P65" i="20"/>
  <c r="O53" i="65"/>
  <c r="P62" i="20"/>
  <c r="O50" i="65"/>
  <c r="P49" i="20"/>
  <c r="O37" i="65"/>
  <c r="J135" i="34"/>
  <c r="I134" i="66"/>
  <c r="I125" i="34"/>
  <c r="P42" i="66"/>
  <c r="L18" i="34"/>
  <c r="L16" i="66" s="1"/>
  <c r="L21" i="66" s="1"/>
  <c r="L28" i="66" s="1"/>
  <c r="K23" i="34"/>
  <c r="K30" i="34" s="1"/>
  <c r="G93" i="63"/>
  <c r="L40" i="63"/>
  <c r="J76" i="59"/>
  <c r="J86" i="59"/>
  <c r="J144" i="34"/>
  <c r="I143" i="66"/>
  <c r="O73" i="58"/>
  <c r="N73" i="20"/>
  <c r="M61" i="65"/>
  <c r="N47" i="20"/>
  <c r="M35" i="65"/>
  <c r="J86" i="58"/>
  <c r="J87" i="58"/>
  <c r="J97" i="58" s="1"/>
  <c r="J96" i="58"/>
  <c r="M113" i="59"/>
  <c r="K21" i="65"/>
  <c r="K26" i="65" s="1"/>
  <c r="N121" i="58"/>
  <c r="O114" i="58"/>
  <c r="P109" i="58"/>
  <c r="P114" i="58" s="1"/>
  <c r="P99" i="59"/>
  <c r="P104" i="59" s="1"/>
  <c r="O104" i="59"/>
  <c r="N111" i="59"/>
  <c r="N109" i="59"/>
  <c r="K33" i="20"/>
  <c r="K40" i="20" s="1"/>
  <c r="J28" i="65"/>
  <c r="J26" i="65"/>
  <c r="L28" i="20"/>
  <c r="L16" i="65" s="1"/>
  <c r="J26" i="66"/>
  <c r="J28" i="66"/>
  <c r="M29" i="20"/>
  <c r="L17" i="65"/>
  <c r="K28" i="66"/>
  <c r="K26" i="66"/>
  <c r="L111" i="63"/>
  <c r="S119" i="9"/>
  <c r="M114" i="63"/>
  <c r="K111" i="63"/>
  <c r="J104" i="63"/>
  <c r="J111" i="63" s="1"/>
  <c r="K91" i="63"/>
  <c r="L100" i="63"/>
  <c r="L86" i="63"/>
  <c r="K84" i="63"/>
  <c r="K80" i="63"/>
  <c r="J72" i="63"/>
  <c r="J80" i="63" s="1"/>
  <c r="K69" i="63"/>
  <c r="J64" i="63"/>
  <c r="J69" i="63" s="1"/>
  <c r="J60" i="63"/>
  <c r="J61" i="63" s="1"/>
  <c r="K61" i="63"/>
  <c r="J43" i="63"/>
  <c r="J56" i="63" s="1"/>
  <c r="K56" i="63"/>
  <c r="G29" i="63"/>
  <c r="K40" i="63"/>
  <c r="J24" i="63"/>
  <c r="J40" i="63" s="1"/>
  <c r="J66" i="9"/>
  <c r="J55" i="13"/>
  <c r="G34" i="9"/>
  <c r="AY2" i="40"/>
  <c r="I48" i="11"/>
  <c r="J116" i="9"/>
  <c r="U2" i="40"/>
  <c r="N36" i="34"/>
  <c r="M57" i="34"/>
  <c r="M66" i="34" s="1"/>
  <c r="J28" i="34"/>
  <c r="J30" i="34"/>
  <c r="J40" i="20"/>
  <c r="J38" i="20"/>
  <c r="O36" i="4"/>
  <c r="K24" i="3"/>
  <c r="K36" i="4"/>
  <c r="AI2" i="40" s="1"/>
  <c r="M46" i="20"/>
  <c r="M34" i="65" s="1"/>
  <c r="L67" i="20"/>
  <c r="L76" i="20" s="1"/>
  <c r="I77" i="11"/>
  <c r="I94" i="11"/>
  <c r="S118" i="9"/>
  <c r="I64" i="11"/>
  <c r="I108" i="11"/>
  <c r="J74" i="9"/>
  <c r="G98" i="9"/>
  <c r="I118" i="11"/>
  <c r="I88" i="11"/>
  <c r="L20" i="2"/>
  <c r="G49" i="12" s="1"/>
  <c r="K119" i="9"/>
  <c r="J105" i="9"/>
  <c r="J91" i="9"/>
  <c r="J85" i="9"/>
  <c r="J61" i="9"/>
  <c r="G35" i="9"/>
  <c r="J45" i="9"/>
  <c r="BC2" i="40" s="1"/>
  <c r="C22" i="4"/>
  <c r="K20" i="9"/>
  <c r="K22" i="9"/>
  <c r="K21" i="9"/>
  <c r="L16" i="63" s="1"/>
  <c r="K16" i="63" s="1"/>
  <c r="J16" i="63" s="1"/>
  <c r="K23" i="9"/>
  <c r="L18" i="63" s="1"/>
  <c r="K18" i="63" s="1"/>
  <c r="J18" i="63" s="1"/>
  <c r="K24" i="9"/>
  <c r="K25" i="9"/>
  <c r="K96" i="58" l="1"/>
  <c r="K87" i="58"/>
  <c r="K97" i="58" s="1"/>
  <c r="K120" i="11"/>
  <c r="G18" i="12" s="1"/>
  <c r="G23" i="12" s="1"/>
  <c r="G25" i="12" s="1"/>
  <c r="G28" i="12" s="1"/>
  <c r="G30" i="12" s="1"/>
  <c r="G32" i="12" s="1"/>
  <c r="G34" i="12" s="1"/>
  <c r="K156" i="20"/>
  <c r="J145" i="65"/>
  <c r="M18" i="34"/>
  <c r="M16" i="66" s="1"/>
  <c r="M21" i="66" s="1"/>
  <c r="M28" i="66" s="1"/>
  <c r="L23" i="34"/>
  <c r="N35" i="58"/>
  <c r="M23" i="65"/>
  <c r="M38" i="58"/>
  <c r="M42" i="58" s="1"/>
  <c r="M55" i="65"/>
  <c r="M64" i="65" s="1"/>
  <c r="I139" i="66"/>
  <c r="I141" i="66" s="1"/>
  <c r="I142" i="34"/>
  <c r="J140" i="34"/>
  <c r="L26" i="66"/>
  <c r="K38" i="20"/>
  <c r="K42" i="20" s="1"/>
  <c r="K78" i="20" s="1"/>
  <c r="I132" i="20"/>
  <c r="P39" i="65"/>
  <c r="I129" i="20"/>
  <c r="P36" i="65"/>
  <c r="J134" i="34"/>
  <c r="I133" i="66"/>
  <c r="J133" i="34"/>
  <c r="I132" i="66"/>
  <c r="J122" i="34"/>
  <c r="I121" i="66"/>
  <c r="N37" i="34"/>
  <c r="N57" i="34" s="1"/>
  <c r="N66" i="34" s="1"/>
  <c r="M35" i="66"/>
  <c r="M55" i="66" s="1"/>
  <c r="M64" i="66" s="1"/>
  <c r="J136" i="34"/>
  <c r="I135" i="66"/>
  <c r="J125" i="34"/>
  <c r="I124" i="66"/>
  <c r="I146" i="20"/>
  <c r="P53" i="65"/>
  <c r="K141" i="34"/>
  <c r="J140" i="66"/>
  <c r="I135" i="20"/>
  <c r="P42" i="65"/>
  <c r="J128" i="34"/>
  <c r="I127" i="66"/>
  <c r="I139" i="20"/>
  <c r="P46" i="65"/>
  <c r="I137" i="20"/>
  <c r="P44" i="65"/>
  <c r="I141" i="20"/>
  <c r="P48" i="65"/>
  <c r="I151" i="20"/>
  <c r="P58" i="65"/>
  <c r="J121" i="34"/>
  <c r="I120" i="66"/>
  <c r="K102" i="34"/>
  <c r="J101" i="66"/>
  <c r="J126" i="34"/>
  <c r="I125" i="66"/>
  <c r="K135" i="34"/>
  <c r="J134" i="66"/>
  <c r="I147" i="20"/>
  <c r="P54" i="65"/>
  <c r="J131" i="34"/>
  <c r="I130" i="66"/>
  <c r="J120" i="34"/>
  <c r="I119" i="66"/>
  <c r="J127" i="34"/>
  <c r="I126" i="66"/>
  <c r="K130" i="34"/>
  <c r="J129" i="66"/>
  <c r="I131" i="20"/>
  <c r="P38" i="65"/>
  <c r="I133" i="20"/>
  <c r="P40" i="65"/>
  <c r="I112" i="20"/>
  <c r="P19" i="65"/>
  <c r="J123" i="34"/>
  <c r="I122" i="66"/>
  <c r="O59" i="65"/>
  <c r="K103" i="34"/>
  <c r="J102" i="66"/>
  <c r="I136" i="20"/>
  <c r="P43" i="65"/>
  <c r="M67" i="58"/>
  <c r="M76" i="58" s="1"/>
  <c r="M78" i="58" s="1"/>
  <c r="N46" i="58"/>
  <c r="I130" i="20"/>
  <c r="P37" i="65"/>
  <c r="J119" i="34"/>
  <c r="I118" i="66"/>
  <c r="I145" i="20"/>
  <c r="P52" i="65"/>
  <c r="I138" i="20"/>
  <c r="P45" i="65"/>
  <c r="P71" i="20"/>
  <c r="P57" i="65"/>
  <c r="P59" i="65" s="1"/>
  <c r="I150" i="20"/>
  <c r="I144" i="20"/>
  <c r="P51" i="65"/>
  <c r="L86" i="58"/>
  <c r="L96" i="58"/>
  <c r="L87" i="58"/>
  <c r="L97" i="58" s="1"/>
  <c r="N36" i="59"/>
  <c r="N34" i="66" s="1"/>
  <c r="M57" i="59"/>
  <c r="M66" i="59" s="1"/>
  <c r="M68" i="59" s="1"/>
  <c r="I142" i="20"/>
  <c r="P49" i="65"/>
  <c r="I140" i="20"/>
  <c r="P47" i="65"/>
  <c r="J124" i="34"/>
  <c r="I123" i="66"/>
  <c r="I113" i="20"/>
  <c r="P20" i="65"/>
  <c r="J137" i="34"/>
  <c r="I136" i="66"/>
  <c r="J146" i="34"/>
  <c r="I145" i="66"/>
  <c r="I143" i="20"/>
  <c r="P50" i="65"/>
  <c r="L77" i="59"/>
  <c r="L87" i="59" s="1"/>
  <c r="L76" i="59"/>
  <c r="L86" i="59"/>
  <c r="I134" i="20"/>
  <c r="P41" i="65"/>
  <c r="J132" i="34"/>
  <c r="I131" i="66"/>
  <c r="K129" i="34"/>
  <c r="J128" i="66"/>
  <c r="K28" i="34"/>
  <c r="K32" i="34" s="1"/>
  <c r="K68" i="34" s="1"/>
  <c r="K28" i="65"/>
  <c r="K30" i="65" s="1"/>
  <c r="K66" i="65" s="1"/>
  <c r="K85" i="65" s="1"/>
  <c r="I27" i="11"/>
  <c r="L19" i="63"/>
  <c r="K19" i="63" s="1"/>
  <c r="J19" i="63" s="1"/>
  <c r="I28" i="11"/>
  <c r="E28" i="11" s="1"/>
  <c r="L20" i="63"/>
  <c r="K20" i="63" s="1"/>
  <c r="J20" i="63" s="1"/>
  <c r="K144" i="34"/>
  <c r="J143" i="66"/>
  <c r="P73" i="58"/>
  <c r="O73" i="20"/>
  <c r="N61" i="65"/>
  <c r="O47" i="20"/>
  <c r="N35" i="65"/>
  <c r="L30" i="66"/>
  <c r="L66" i="66" s="1"/>
  <c r="L80" i="66" s="1"/>
  <c r="L86" i="66" s="1"/>
  <c r="N113" i="59"/>
  <c r="P111" i="59"/>
  <c r="P109" i="59"/>
  <c r="O121" i="58"/>
  <c r="O109" i="59"/>
  <c r="O111" i="59"/>
  <c r="P121" i="58"/>
  <c r="L21" i="65"/>
  <c r="L28" i="65" s="1"/>
  <c r="M28" i="20"/>
  <c r="M16" i="65" s="1"/>
  <c r="J30" i="65"/>
  <c r="J66" i="65" s="1"/>
  <c r="N29" i="20"/>
  <c r="M17" i="65"/>
  <c r="L33" i="20"/>
  <c r="L38" i="20" s="1"/>
  <c r="M26" i="66"/>
  <c r="K30" i="66"/>
  <c r="K66" i="66" s="1"/>
  <c r="J30" i="66"/>
  <c r="J66" i="66" s="1"/>
  <c r="J119" i="9"/>
  <c r="J91" i="63"/>
  <c r="J100" i="63" s="1"/>
  <c r="K100" i="63"/>
  <c r="J84" i="63"/>
  <c r="J86" i="63" s="1"/>
  <c r="K86" i="63"/>
  <c r="J23" i="9"/>
  <c r="I25" i="11"/>
  <c r="L17" i="63"/>
  <c r="K17" i="63" s="1"/>
  <c r="J17" i="63" s="1"/>
  <c r="I23" i="11"/>
  <c r="L15" i="63"/>
  <c r="G51" i="54"/>
  <c r="G54" i="54" s="1"/>
  <c r="F34" i="67" s="1"/>
  <c r="O36" i="34"/>
  <c r="J32" i="34"/>
  <c r="J68" i="34" s="1"/>
  <c r="M23" i="34"/>
  <c r="L30" i="34"/>
  <c r="L28" i="34"/>
  <c r="J42" i="20"/>
  <c r="AX2" i="40"/>
  <c r="M67" i="20"/>
  <c r="M76" i="20" s="1"/>
  <c r="N46" i="20"/>
  <c r="J25" i="9"/>
  <c r="I19" i="10"/>
  <c r="I26" i="11"/>
  <c r="I17" i="10"/>
  <c r="I24" i="11"/>
  <c r="L23" i="2"/>
  <c r="K61" i="28"/>
  <c r="K62" i="28" s="1"/>
  <c r="G51" i="12"/>
  <c r="I21" i="10"/>
  <c r="J24" i="9"/>
  <c r="I20" i="10"/>
  <c r="J22" i="9"/>
  <c r="I18" i="10"/>
  <c r="J21" i="9"/>
  <c r="K26" i="9"/>
  <c r="K118" i="9" s="1"/>
  <c r="I16" i="10"/>
  <c r="J20" i="9"/>
  <c r="AW2" i="40" s="1"/>
  <c r="N18" i="34" l="1"/>
  <c r="N16" i="66" s="1"/>
  <c r="N21" i="66" s="1"/>
  <c r="C33" i="73"/>
  <c r="C85" i="73" s="1"/>
  <c r="O35" i="58"/>
  <c r="N23" i="65"/>
  <c r="N38" i="58"/>
  <c r="N42" i="58" s="1"/>
  <c r="L156" i="20"/>
  <c r="K145" i="65"/>
  <c r="J139" i="66"/>
  <c r="J141" i="66" s="1"/>
  <c r="K140" i="34"/>
  <c r="J142" i="34"/>
  <c r="N34" i="65"/>
  <c r="N55" i="65" s="1"/>
  <c r="N64" i="65" s="1"/>
  <c r="M76" i="59"/>
  <c r="M86" i="59"/>
  <c r="M77" i="59"/>
  <c r="M87" i="59" s="1"/>
  <c r="L103" i="34"/>
  <c r="K102" i="66"/>
  <c r="J151" i="20"/>
  <c r="I140" i="65"/>
  <c r="K128" i="34"/>
  <c r="J127" i="66"/>
  <c r="K125" i="34"/>
  <c r="J124" i="66"/>
  <c r="K133" i="34"/>
  <c r="J132" i="66"/>
  <c r="L129" i="34"/>
  <c r="K128" i="66"/>
  <c r="J113" i="20"/>
  <c r="I102" i="65"/>
  <c r="N57" i="59"/>
  <c r="N66" i="59" s="1"/>
  <c r="N68" i="59" s="1"/>
  <c r="O36" i="59"/>
  <c r="O34" i="66" s="1"/>
  <c r="I119" i="65"/>
  <c r="J130" i="20"/>
  <c r="J133" i="20"/>
  <c r="I122" i="65"/>
  <c r="K120" i="34"/>
  <c r="J119" i="66"/>
  <c r="J143" i="20"/>
  <c r="I132" i="65"/>
  <c r="K126" i="34"/>
  <c r="J125" i="66"/>
  <c r="J141" i="20"/>
  <c r="I130" i="65"/>
  <c r="J135" i="20"/>
  <c r="I124" i="65"/>
  <c r="K136" i="34"/>
  <c r="J135" i="66"/>
  <c r="K134" i="34"/>
  <c r="J133" i="66"/>
  <c r="K132" i="34"/>
  <c r="J131" i="66"/>
  <c r="K124" i="34"/>
  <c r="J123" i="66"/>
  <c r="J138" i="20"/>
  <c r="I127" i="65"/>
  <c r="N67" i="58"/>
  <c r="N76" i="58" s="1"/>
  <c r="N78" i="58" s="1"/>
  <c r="O46" i="58"/>
  <c r="J131" i="20"/>
  <c r="I120" i="65"/>
  <c r="K131" i="34"/>
  <c r="J130" i="66"/>
  <c r="M87" i="58"/>
  <c r="M97" i="58" s="1"/>
  <c r="M96" i="58"/>
  <c r="M86" i="58"/>
  <c r="L102" i="34"/>
  <c r="K101" i="66"/>
  <c r="J137" i="20"/>
  <c r="I126" i="65"/>
  <c r="L141" i="34"/>
  <c r="K140" i="66"/>
  <c r="O37" i="34"/>
  <c r="N35" i="66"/>
  <c r="N55" i="66" s="1"/>
  <c r="N64" i="66" s="1"/>
  <c r="J129" i="20"/>
  <c r="I118" i="65"/>
  <c r="J134" i="20"/>
  <c r="I123" i="65"/>
  <c r="K146" i="34"/>
  <c r="J145" i="66"/>
  <c r="J140" i="20"/>
  <c r="I129" i="65"/>
  <c r="J145" i="20"/>
  <c r="I134" i="65"/>
  <c r="K123" i="34"/>
  <c r="J122" i="66"/>
  <c r="L130" i="34"/>
  <c r="K129" i="66"/>
  <c r="J147" i="20"/>
  <c r="I136" i="65"/>
  <c r="J144" i="20"/>
  <c r="I133" i="65"/>
  <c r="J136" i="20"/>
  <c r="I125" i="65"/>
  <c r="K121" i="34"/>
  <c r="J120" i="66"/>
  <c r="J139" i="20"/>
  <c r="I128" i="65"/>
  <c r="J146" i="20"/>
  <c r="I135" i="65"/>
  <c r="K122" i="34"/>
  <c r="J121" i="66"/>
  <c r="J132" i="20"/>
  <c r="I121" i="65"/>
  <c r="K137" i="34"/>
  <c r="J136" i="66"/>
  <c r="J142" i="20"/>
  <c r="I131" i="65"/>
  <c r="I139" i="65"/>
  <c r="J150" i="20"/>
  <c r="I152" i="20"/>
  <c r="K119" i="34"/>
  <c r="J118" i="66"/>
  <c r="J112" i="20"/>
  <c r="I101" i="65"/>
  <c r="K127" i="34"/>
  <c r="J126" i="66"/>
  <c r="L135" i="34"/>
  <c r="K134" i="66"/>
  <c r="L26" i="65"/>
  <c r="L30" i="65" s="1"/>
  <c r="L66" i="65" s="1"/>
  <c r="L144" i="34"/>
  <c r="K143" i="66"/>
  <c r="K80" i="65"/>
  <c r="K86" i="65" s="1"/>
  <c r="I154" i="58"/>
  <c r="K79" i="65"/>
  <c r="P73" i="20"/>
  <c r="O61" i="65"/>
  <c r="P47" i="20"/>
  <c r="O35" i="65"/>
  <c r="L40" i="20"/>
  <c r="L42" i="20" s="1"/>
  <c r="L78" i="20" s="1"/>
  <c r="L79" i="66"/>
  <c r="L85" i="66"/>
  <c r="O113" i="59"/>
  <c r="M21" i="65"/>
  <c r="M26" i="65" s="1"/>
  <c r="P113" i="59"/>
  <c r="K85" i="66"/>
  <c r="K79" i="66"/>
  <c r="K80" i="66"/>
  <c r="K86" i="66" s="1"/>
  <c r="M33" i="20"/>
  <c r="M38" i="20" s="1"/>
  <c r="N26" i="66"/>
  <c r="N28" i="66"/>
  <c r="M30" i="66"/>
  <c r="M66" i="66" s="1"/>
  <c r="O29" i="20"/>
  <c r="N17" i="65"/>
  <c r="J80" i="66"/>
  <c r="J86" i="66" s="1"/>
  <c r="J79" i="66"/>
  <c r="J85" i="66"/>
  <c r="N28" i="20"/>
  <c r="N16" i="65" s="1"/>
  <c r="J85" i="65"/>
  <c r="J79" i="65"/>
  <c r="J80" i="65"/>
  <c r="J86" i="65" s="1"/>
  <c r="F36" i="67"/>
  <c r="K120" i="51" s="1"/>
  <c r="M34" i="68"/>
  <c r="I29" i="11"/>
  <c r="I120" i="11" s="1"/>
  <c r="K15" i="63"/>
  <c r="L21" i="63"/>
  <c r="L114" i="63" s="1"/>
  <c r="K114" i="63" s="1"/>
  <c r="J114" i="63" s="1"/>
  <c r="I61" i="66"/>
  <c r="I58" i="66"/>
  <c r="I53" i="66"/>
  <c r="I49" i="66"/>
  <c r="I45" i="66"/>
  <c r="I41" i="66"/>
  <c r="I37" i="66"/>
  <c r="I61" i="65"/>
  <c r="I48" i="65"/>
  <c r="I50" i="66"/>
  <c r="I38" i="66"/>
  <c r="I57" i="66"/>
  <c r="I52" i="66"/>
  <c r="I48" i="66"/>
  <c r="I44" i="66"/>
  <c r="I40" i="66"/>
  <c r="I36" i="66"/>
  <c r="I58" i="65"/>
  <c r="I46" i="66"/>
  <c r="I34" i="66"/>
  <c r="I51" i="66"/>
  <c r="I47" i="66"/>
  <c r="I43" i="66"/>
  <c r="I39" i="66"/>
  <c r="I35" i="66"/>
  <c r="I52" i="65"/>
  <c r="I54" i="66"/>
  <c r="I42" i="66"/>
  <c r="I50" i="65"/>
  <c r="I39" i="65"/>
  <c r="I42" i="65"/>
  <c r="I57" i="65"/>
  <c r="I49" i="65"/>
  <c r="I51" i="65"/>
  <c r="I55" i="66"/>
  <c r="I45" i="65"/>
  <c r="I44" i="65"/>
  <c r="I47" i="65"/>
  <c r="I46" i="65"/>
  <c r="I37" i="65"/>
  <c r="I53" i="65"/>
  <c r="I36" i="65"/>
  <c r="I59" i="66"/>
  <c r="I34" i="65"/>
  <c r="I54" i="65"/>
  <c r="I41" i="65"/>
  <c r="I35" i="65"/>
  <c r="I40" i="65"/>
  <c r="I38" i="65"/>
  <c r="I43" i="65"/>
  <c r="I59" i="65"/>
  <c r="I55" i="65"/>
  <c r="F74" i="1"/>
  <c r="BN2" i="40"/>
  <c r="M2" i="40"/>
  <c r="I63" i="59"/>
  <c r="I59" i="59"/>
  <c r="I55" i="59"/>
  <c r="I53" i="59"/>
  <c r="I48" i="59"/>
  <c r="I40" i="59"/>
  <c r="I64" i="58"/>
  <c r="I61" i="58"/>
  <c r="I59" i="58"/>
  <c r="I48" i="58"/>
  <c r="I51" i="59"/>
  <c r="I49" i="59"/>
  <c r="I46" i="59"/>
  <c r="I43" i="59"/>
  <c r="I41" i="59"/>
  <c r="I38" i="59"/>
  <c r="I36" i="59"/>
  <c r="I71" i="58"/>
  <c r="I69" i="58"/>
  <c r="I62" i="58"/>
  <c r="I56" i="58"/>
  <c r="I54" i="58"/>
  <c r="I53" i="58"/>
  <c r="I51" i="58"/>
  <c r="I60" i="59"/>
  <c r="I56" i="59"/>
  <c r="I54" i="59"/>
  <c r="I52" i="59"/>
  <c r="I44" i="59"/>
  <c r="I65" i="58"/>
  <c r="I60" i="58"/>
  <c r="I57" i="58"/>
  <c r="I49" i="58"/>
  <c r="I50" i="59"/>
  <c r="I47" i="59"/>
  <c r="I45" i="59"/>
  <c r="I42" i="59"/>
  <c r="I39" i="59"/>
  <c r="I37" i="59"/>
  <c r="I73" i="58"/>
  <c r="I70" i="58"/>
  <c r="I66" i="58"/>
  <c r="I63" i="58"/>
  <c r="I58" i="58"/>
  <c r="I55" i="58"/>
  <c r="I52" i="58"/>
  <c r="I50" i="58"/>
  <c r="I61" i="59"/>
  <c r="I46" i="58"/>
  <c r="I57" i="59"/>
  <c r="I47" i="58"/>
  <c r="I67" i="58"/>
  <c r="O57" i="34"/>
  <c r="O66" i="34" s="1"/>
  <c r="P36" i="34"/>
  <c r="L32" i="34"/>
  <c r="L68" i="34" s="1"/>
  <c r="L77" i="34" s="1"/>
  <c r="L87" i="34" s="1"/>
  <c r="J86" i="34"/>
  <c r="J77" i="34"/>
  <c r="J87" i="34" s="1"/>
  <c r="J76" i="34"/>
  <c r="K86" i="34"/>
  <c r="K77" i="34"/>
  <c r="K87" i="34" s="1"/>
  <c r="K76" i="34"/>
  <c r="M30" i="34"/>
  <c r="M28" i="34"/>
  <c r="CE2" i="40"/>
  <c r="J78" i="20"/>
  <c r="N23" i="34"/>
  <c r="O18" i="34"/>
  <c r="O16" i="66" s="1"/>
  <c r="O21" i="66" s="1"/>
  <c r="N33" i="20"/>
  <c r="K96" i="20"/>
  <c r="K86" i="20"/>
  <c r="K87" i="20"/>
  <c r="K97" i="20" s="1"/>
  <c r="CO2" i="40" s="1"/>
  <c r="I46" i="34"/>
  <c r="I43" i="34"/>
  <c r="I40" i="34"/>
  <c r="I60" i="34"/>
  <c r="I55" i="34"/>
  <c r="I53" i="34"/>
  <c r="I45" i="34"/>
  <c r="I42" i="34"/>
  <c r="I39" i="34"/>
  <c r="I63" i="34"/>
  <c r="I52" i="34"/>
  <c r="I48" i="34"/>
  <c r="I41" i="34"/>
  <c r="I38" i="34"/>
  <c r="I54" i="34"/>
  <c r="I51" i="34"/>
  <c r="I44" i="34"/>
  <c r="I59" i="34"/>
  <c r="I61" i="34"/>
  <c r="I49" i="34"/>
  <c r="I36" i="34"/>
  <c r="I50" i="34"/>
  <c r="I47" i="34"/>
  <c r="I37" i="34"/>
  <c r="I56" i="34"/>
  <c r="I57" i="34"/>
  <c r="G31" i="6"/>
  <c r="O46" i="20"/>
  <c r="N67" i="20"/>
  <c r="N76" i="20" s="1"/>
  <c r="J56" i="27"/>
  <c r="J57" i="27" s="1"/>
  <c r="G37" i="12"/>
  <c r="G39" i="12" s="1"/>
  <c r="G41" i="12" s="1"/>
  <c r="G44" i="12" s="1"/>
  <c r="I62" i="20"/>
  <c r="I60" i="20"/>
  <c r="I47" i="20"/>
  <c r="I73" i="20"/>
  <c r="I59" i="20"/>
  <c r="I63" i="20"/>
  <c r="I58" i="20"/>
  <c r="I54" i="20"/>
  <c r="I50" i="20"/>
  <c r="I71" i="20"/>
  <c r="I66" i="20"/>
  <c r="I57" i="20"/>
  <c r="I53" i="20"/>
  <c r="I49" i="20"/>
  <c r="I70" i="20"/>
  <c r="I65" i="20"/>
  <c r="I61" i="20"/>
  <c r="I56" i="20"/>
  <c r="I52" i="20"/>
  <c r="I48" i="20"/>
  <c r="I69" i="20"/>
  <c r="I64" i="20"/>
  <c r="I55" i="20"/>
  <c r="I51" i="20"/>
  <c r="I46" i="20"/>
  <c r="I67" i="20"/>
  <c r="J26" i="9"/>
  <c r="O28" i="20" l="1"/>
  <c r="O16" i="65" s="1"/>
  <c r="M156" i="20"/>
  <c r="L145" i="65"/>
  <c r="I141" i="65"/>
  <c r="P35" i="58"/>
  <c r="O23" i="65"/>
  <c r="O38" i="58"/>
  <c r="O42" i="58" s="1"/>
  <c r="K139" i="66"/>
  <c r="K141" i="66" s="1"/>
  <c r="K142" i="34"/>
  <c r="L140" i="34"/>
  <c r="O34" i="65"/>
  <c r="O55" i="65" s="1"/>
  <c r="O64" i="65" s="1"/>
  <c r="M40" i="20"/>
  <c r="N21" i="65"/>
  <c r="N26" i="65" s="1"/>
  <c r="L119" i="34"/>
  <c r="K118" i="66"/>
  <c r="K139" i="20"/>
  <c r="J128" i="65"/>
  <c r="K147" i="20"/>
  <c r="J136" i="65"/>
  <c r="K140" i="20"/>
  <c r="J129" i="65"/>
  <c r="N96" i="58"/>
  <c r="N87" i="58"/>
  <c r="N97" i="58" s="1"/>
  <c r="N86" i="58"/>
  <c r="L134" i="34"/>
  <c r="K133" i="66"/>
  <c r="L126" i="34"/>
  <c r="K125" i="66"/>
  <c r="K133" i="20"/>
  <c r="J122" i="65"/>
  <c r="M129" i="34"/>
  <c r="L128" i="66"/>
  <c r="P37" i="34"/>
  <c r="O35" i="66"/>
  <c r="O55" i="66" s="1"/>
  <c r="O64" i="66" s="1"/>
  <c r="K130" i="20"/>
  <c r="J119" i="65"/>
  <c r="K151" i="20"/>
  <c r="J140" i="65"/>
  <c r="M135" i="34"/>
  <c r="L134" i="66"/>
  <c r="J139" i="65"/>
  <c r="J141" i="65" s="1"/>
  <c r="K150" i="20"/>
  <c r="J152" i="20"/>
  <c r="K132" i="20"/>
  <c r="J121" i="65"/>
  <c r="L121" i="34"/>
  <c r="K120" i="66"/>
  <c r="M130" i="34"/>
  <c r="L129" i="66"/>
  <c r="L146" i="34"/>
  <c r="K145" i="66"/>
  <c r="K138" i="20"/>
  <c r="J127" i="65"/>
  <c r="L136" i="34"/>
  <c r="K135" i="66"/>
  <c r="M141" i="34"/>
  <c r="L140" i="66"/>
  <c r="O57" i="59"/>
  <c r="O66" i="59" s="1"/>
  <c r="O68" i="59" s="1"/>
  <c r="P36" i="59"/>
  <c r="P34" i="66" s="1"/>
  <c r="L133" i="34"/>
  <c r="K132" i="66"/>
  <c r="M103" i="34"/>
  <c r="L102" i="66"/>
  <c r="L127" i="34"/>
  <c r="K126" i="66"/>
  <c r="L122" i="34"/>
  <c r="K121" i="66"/>
  <c r="K136" i="20"/>
  <c r="J125" i="65"/>
  <c r="L123" i="34"/>
  <c r="K122" i="66"/>
  <c r="K134" i="20"/>
  <c r="J123" i="65"/>
  <c r="L131" i="34"/>
  <c r="K130" i="66"/>
  <c r="L124" i="34"/>
  <c r="K123" i="66"/>
  <c r="K135" i="20"/>
  <c r="J124" i="65"/>
  <c r="K143" i="20"/>
  <c r="J132" i="65"/>
  <c r="N86" i="59"/>
  <c r="N77" i="59"/>
  <c r="N87" i="59" s="1"/>
  <c r="N76" i="59"/>
  <c r="K142" i="20"/>
  <c r="J131" i="65"/>
  <c r="K137" i="20"/>
  <c r="J126" i="65"/>
  <c r="L125" i="34"/>
  <c r="K124" i="66"/>
  <c r="K112" i="20"/>
  <c r="J101" i="65"/>
  <c r="K146" i="20"/>
  <c r="J135" i="65"/>
  <c r="K144" i="20"/>
  <c r="J133" i="65"/>
  <c r="K145" i="20"/>
  <c r="J134" i="65"/>
  <c r="K131" i="20"/>
  <c r="J120" i="65"/>
  <c r="L132" i="34"/>
  <c r="K131" i="66"/>
  <c r="K141" i="20"/>
  <c r="J130" i="65"/>
  <c r="L120" i="34"/>
  <c r="K119" i="66"/>
  <c r="K113" i="20"/>
  <c r="J102" i="65"/>
  <c r="L137" i="34"/>
  <c r="K136" i="66"/>
  <c r="K129" i="20"/>
  <c r="J118" i="65"/>
  <c r="M102" i="34"/>
  <c r="L101" i="66"/>
  <c r="P46" i="58"/>
  <c r="O67" i="58"/>
  <c r="O76" i="58" s="1"/>
  <c r="O78" i="58" s="1"/>
  <c r="L128" i="34"/>
  <c r="K127" i="66"/>
  <c r="M144" i="34"/>
  <c r="L143" i="66"/>
  <c r="J154" i="58"/>
  <c r="I154" i="20"/>
  <c r="P61" i="65"/>
  <c r="I128" i="20"/>
  <c r="P35" i="65"/>
  <c r="M28" i="65"/>
  <c r="M30" i="65" s="1"/>
  <c r="M66" i="65" s="1"/>
  <c r="M79" i="65" s="1"/>
  <c r="O28" i="66"/>
  <c r="O26" i="66"/>
  <c r="N30" i="66"/>
  <c r="N66" i="66" s="1"/>
  <c r="L85" i="65"/>
  <c r="L79" i="65"/>
  <c r="L80" i="65"/>
  <c r="L86" i="65" s="1"/>
  <c r="P29" i="20"/>
  <c r="O17" i="65"/>
  <c r="O21" i="65" s="1"/>
  <c r="M80" i="66"/>
  <c r="M86" i="66" s="1"/>
  <c r="M85" i="66"/>
  <c r="M79" i="66"/>
  <c r="E49" i="68"/>
  <c r="K21" i="63"/>
  <c r="K113" i="63" s="1"/>
  <c r="J15" i="63"/>
  <c r="G54" i="12"/>
  <c r="I117" i="34"/>
  <c r="P57" i="34"/>
  <c r="P66" i="34" s="1"/>
  <c r="L76" i="34"/>
  <c r="L86" i="34"/>
  <c r="M32" i="34"/>
  <c r="M68" i="34" s="1"/>
  <c r="M77" i="34" s="1"/>
  <c r="M87" i="34" s="1"/>
  <c r="M42" i="20"/>
  <c r="M78" i="20" s="1"/>
  <c r="M86" i="20" s="1"/>
  <c r="L86" i="20"/>
  <c r="L96" i="20"/>
  <c r="L87" i="20"/>
  <c r="L97" i="20" s="1"/>
  <c r="CP2" i="40" s="1"/>
  <c r="N40" i="20"/>
  <c r="N38" i="20"/>
  <c r="J96" i="20"/>
  <c r="J86" i="20"/>
  <c r="CM2" i="40" s="1"/>
  <c r="J87" i="20"/>
  <c r="J97" i="20" s="1"/>
  <c r="CN2" i="40" s="1"/>
  <c r="P28" i="20"/>
  <c r="P16" i="65" s="1"/>
  <c r="O33" i="20"/>
  <c r="P18" i="34"/>
  <c r="P16" i="66" s="1"/>
  <c r="P21" i="66" s="1"/>
  <c r="O23" i="34"/>
  <c r="N30" i="34"/>
  <c r="N28" i="34"/>
  <c r="O67" i="20"/>
  <c r="O76" i="20" s="1"/>
  <c r="P46" i="20"/>
  <c r="P34" i="65" s="1"/>
  <c r="J118" i="9"/>
  <c r="I116" i="58" l="1"/>
  <c r="P23" i="65"/>
  <c r="P38" i="58"/>
  <c r="P42" i="58" s="1"/>
  <c r="N156" i="20"/>
  <c r="M145" i="65"/>
  <c r="P55" i="65"/>
  <c r="P64" i="65" s="1"/>
  <c r="L139" i="66"/>
  <c r="L141" i="66" s="1"/>
  <c r="M140" i="34"/>
  <c r="L142" i="34"/>
  <c r="N28" i="65"/>
  <c r="N30" i="65" s="1"/>
  <c r="N66" i="65" s="1"/>
  <c r="N79" i="65" s="1"/>
  <c r="L137" i="20"/>
  <c r="K126" i="65"/>
  <c r="L133" i="20"/>
  <c r="K122" i="65"/>
  <c r="M128" i="34"/>
  <c r="L127" i="66"/>
  <c r="M137" i="34"/>
  <c r="L136" i="66"/>
  <c r="M132" i="34"/>
  <c r="L131" i="66"/>
  <c r="L146" i="20"/>
  <c r="K135" i="65"/>
  <c r="L135" i="20"/>
  <c r="K124" i="65"/>
  <c r="M123" i="34"/>
  <c r="L122" i="66"/>
  <c r="N103" i="34"/>
  <c r="M102" i="66"/>
  <c r="M146" i="34"/>
  <c r="L145" i="66"/>
  <c r="K139" i="65"/>
  <c r="L150" i="20"/>
  <c r="K152" i="20"/>
  <c r="L140" i="20"/>
  <c r="K129" i="65"/>
  <c r="O96" i="58"/>
  <c r="O87" i="58"/>
  <c r="O97" i="58" s="1"/>
  <c r="O86" i="58"/>
  <c r="L142" i="20"/>
  <c r="K131" i="65"/>
  <c r="L130" i="20"/>
  <c r="K119" i="65"/>
  <c r="M126" i="34"/>
  <c r="L125" i="66"/>
  <c r="I127" i="58"/>
  <c r="P67" i="58"/>
  <c r="P76" i="58" s="1"/>
  <c r="P78" i="58" s="1"/>
  <c r="L113" i="20"/>
  <c r="K102" i="65"/>
  <c r="L131" i="20"/>
  <c r="K120" i="65"/>
  <c r="L112" i="20"/>
  <c r="K101" i="65"/>
  <c r="M124" i="34"/>
  <c r="L123" i="66"/>
  <c r="L136" i="20"/>
  <c r="K125" i="65"/>
  <c r="M133" i="34"/>
  <c r="L132" i="66"/>
  <c r="N130" i="34"/>
  <c r="M129" i="66"/>
  <c r="L147" i="20"/>
  <c r="K136" i="65"/>
  <c r="I117" i="59"/>
  <c r="I116" i="66" s="1"/>
  <c r="P57" i="59"/>
  <c r="P66" i="59" s="1"/>
  <c r="P68" i="59" s="1"/>
  <c r="N135" i="34"/>
  <c r="M134" i="66"/>
  <c r="I118" i="34"/>
  <c r="P35" i="66"/>
  <c r="P55" i="66" s="1"/>
  <c r="P64" i="66" s="1"/>
  <c r="M134" i="34"/>
  <c r="L133" i="66"/>
  <c r="N102" i="34"/>
  <c r="M101" i="66"/>
  <c r="M120" i="34"/>
  <c r="L119" i="66"/>
  <c r="L145" i="20"/>
  <c r="K134" i="65"/>
  <c r="M131" i="34"/>
  <c r="L130" i="66"/>
  <c r="M122" i="34"/>
  <c r="L121" i="66"/>
  <c r="O86" i="59"/>
  <c r="O77" i="59"/>
  <c r="O87" i="59" s="1"/>
  <c r="O76" i="59"/>
  <c r="M136" i="34"/>
  <c r="L135" i="66"/>
  <c r="M121" i="34"/>
  <c r="L120" i="66"/>
  <c r="L139" i="20"/>
  <c r="K128" i="65"/>
  <c r="M125" i="34"/>
  <c r="L124" i="66"/>
  <c r="N129" i="34"/>
  <c r="M128" i="66"/>
  <c r="L129" i="20"/>
  <c r="K118" i="65"/>
  <c r="L141" i="20"/>
  <c r="K130" i="65"/>
  <c r="L144" i="20"/>
  <c r="K133" i="65"/>
  <c r="L143" i="20"/>
  <c r="K132" i="65"/>
  <c r="L134" i="20"/>
  <c r="K123" i="65"/>
  <c r="M127" i="34"/>
  <c r="L126" i="66"/>
  <c r="N141" i="34"/>
  <c r="M140" i="66"/>
  <c r="L138" i="20"/>
  <c r="K127" i="65"/>
  <c r="L132" i="20"/>
  <c r="K121" i="65"/>
  <c r="L151" i="20"/>
  <c r="K140" i="65"/>
  <c r="M119" i="34"/>
  <c r="L118" i="66"/>
  <c r="N144" i="34"/>
  <c r="M143" i="66"/>
  <c r="K154" i="58"/>
  <c r="J154" i="20"/>
  <c r="I143" i="65"/>
  <c r="J128" i="20"/>
  <c r="I117" i="65"/>
  <c r="M85" i="65"/>
  <c r="M80" i="65"/>
  <c r="M86" i="65" s="1"/>
  <c r="O30" i="66"/>
  <c r="O66" i="66" s="1"/>
  <c r="O79" i="66" s="1"/>
  <c r="I110" i="20"/>
  <c r="P17" i="65"/>
  <c r="P21" i="65" s="1"/>
  <c r="O26" i="65"/>
  <c r="O28" i="65"/>
  <c r="P26" i="66"/>
  <c r="P28" i="66"/>
  <c r="N80" i="66"/>
  <c r="N86" i="66" s="1"/>
  <c r="N85" i="66"/>
  <c r="N79" i="66"/>
  <c r="F34" i="14"/>
  <c r="J21" i="63"/>
  <c r="BM2" i="40"/>
  <c r="J117" i="34"/>
  <c r="I138" i="34"/>
  <c r="I147" i="34" s="1"/>
  <c r="M76" i="34"/>
  <c r="M86" i="34"/>
  <c r="N42" i="20"/>
  <c r="N78" i="20" s="1"/>
  <c r="N87" i="20" s="1"/>
  <c r="N97" i="20" s="1"/>
  <c r="M87" i="20"/>
  <c r="M97" i="20" s="1"/>
  <c r="M96" i="20"/>
  <c r="I99" i="34"/>
  <c r="I98" i="66" s="1"/>
  <c r="I103" i="66" s="1"/>
  <c r="P23" i="34"/>
  <c r="O40" i="20"/>
  <c r="O38" i="20"/>
  <c r="N32" i="34"/>
  <c r="N68" i="34" s="1"/>
  <c r="I109" i="20"/>
  <c r="I98" i="65" s="1"/>
  <c r="P33" i="20"/>
  <c r="O30" i="34"/>
  <c r="O28" i="34"/>
  <c r="I127" i="20"/>
  <c r="P67" i="20"/>
  <c r="P76" i="20" s="1"/>
  <c r="I26" i="9"/>
  <c r="J72" i="28"/>
  <c r="J73" i="28" s="1"/>
  <c r="I61" i="9"/>
  <c r="I115" i="9"/>
  <c r="I80" i="9"/>
  <c r="I44" i="9"/>
  <c r="I109" i="9"/>
  <c r="I79" i="9"/>
  <c r="I54" i="9"/>
  <c r="I35" i="9"/>
  <c r="I116" i="9"/>
  <c r="I104" i="9"/>
  <c r="I82" i="9"/>
  <c r="I57" i="9"/>
  <c r="I38" i="9"/>
  <c r="I66" i="9"/>
  <c r="I99" i="9"/>
  <c r="I77" i="9"/>
  <c r="I52" i="9"/>
  <c r="I33" i="9"/>
  <c r="I51" i="9"/>
  <c r="I43" i="9"/>
  <c r="I71" i="9"/>
  <c r="I30" i="9"/>
  <c r="I88" i="9"/>
  <c r="I41" i="9"/>
  <c r="I36" i="9"/>
  <c r="I94" i="9"/>
  <c r="I114" i="9"/>
  <c r="I58" i="9"/>
  <c r="I20" i="9"/>
  <c r="I64" i="9"/>
  <c r="I23" i="9"/>
  <c r="I81" i="9"/>
  <c r="I84" i="9"/>
  <c r="I110" i="9"/>
  <c r="I73" i="9"/>
  <c r="I85" i="9"/>
  <c r="I101" i="9"/>
  <c r="I72" i="9"/>
  <c r="I50" i="9"/>
  <c r="I31" i="9"/>
  <c r="I74" i="9"/>
  <c r="I100" i="9"/>
  <c r="I78" i="9"/>
  <c r="I53" i="9"/>
  <c r="I34" i="9"/>
  <c r="I112" i="9"/>
  <c r="I95" i="9"/>
  <c r="I70" i="9"/>
  <c r="I48" i="9"/>
  <c r="I29" i="9"/>
  <c r="I40" i="9"/>
  <c r="I97" i="9"/>
  <c r="I102" i="9"/>
  <c r="I59" i="9"/>
  <c r="I45" i="9"/>
  <c r="I90" i="9"/>
  <c r="I65" i="9"/>
  <c r="I24" i="9"/>
  <c r="I96" i="9"/>
  <c r="I49" i="9"/>
  <c r="I111" i="9"/>
  <c r="I60" i="9"/>
  <c r="I22" i="9"/>
  <c r="I105" i="9"/>
  <c r="I91" i="9"/>
  <c r="I55" i="9"/>
  <c r="I83" i="9"/>
  <c r="I39" i="9"/>
  <c r="I113" i="9"/>
  <c r="I89" i="9"/>
  <c r="I42" i="9"/>
  <c r="I103" i="9"/>
  <c r="I56" i="9"/>
  <c r="I37" i="9"/>
  <c r="I25" i="9"/>
  <c r="I21" i="9"/>
  <c r="I98" i="9"/>
  <c r="I32" i="9"/>
  <c r="I69" i="9"/>
  <c r="N145" i="65" l="1"/>
  <c r="O156" i="20"/>
  <c r="BU2" i="40"/>
  <c r="C33" i="15"/>
  <c r="C85" i="15" s="1"/>
  <c r="J116" i="58"/>
  <c r="I105" i="65"/>
  <c r="I119" i="58"/>
  <c r="I123" i="58" s="1"/>
  <c r="I116" i="65"/>
  <c r="I137" i="65" s="1"/>
  <c r="I146" i="65" s="1"/>
  <c r="M139" i="66"/>
  <c r="M141" i="66" s="1"/>
  <c r="N140" i="34"/>
  <c r="M142" i="34"/>
  <c r="N121" i="34"/>
  <c r="M120" i="66"/>
  <c r="N123" i="34"/>
  <c r="M122" i="66"/>
  <c r="N137" i="34"/>
  <c r="M136" i="66"/>
  <c r="M138" i="20"/>
  <c r="L127" i="65"/>
  <c r="M143" i="20"/>
  <c r="L132" i="65"/>
  <c r="O129" i="34"/>
  <c r="N128" i="66"/>
  <c r="N131" i="34"/>
  <c r="M130" i="66"/>
  <c r="N134" i="34"/>
  <c r="M133" i="66"/>
  <c r="M147" i="20"/>
  <c r="L136" i="65"/>
  <c r="M136" i="20"/>
  <c r="L125" i="65"/>
  <c r="M113" i="20"/>
  <c r="L102" i="65"/>
  <c r="M142" i="20"/>
  <c r="L131" i="65"/>
  <c r="L139" i="65"/>
  <c r="M150" i="20"/>
  <c r="L152" i="20"/>
  <c r="N136" i="34"/>
  <c r="M135" i="66"/>
  <c r="P87" i="58"/>
  <c r="P97" i="58" s="1"/>
  <c r="P86" i="58"/>
  <c r="P96" i="58"/>
  <c r="K141" i="65"/>
  <c r="M135" i="20"/>
  <c r="L124" i="65"/>
  <c r="N128" i="34"/>
  <c r="M127" i="66"/>
  <c r="N119" i="34"/>
  <c r="M118" i="66"/>
  <c r="O141" i="34"/>
  <c r="N140" i="66"/>
  <c r="M144" i="20"/>
  <c r="L133" i="65"/>
  <c r="N125" i="34"/>
  <c r="M124" i="66"/>
  <c r="M145" i="20"/>
  <c r="L134" i="65"/>
  <c r="J118" i="34"/>
  <c r="I117" i="66"/>
  <c r="I137" i="66" s="1"/>
  <c r="I146" i="66" s="1"/>
  <c r="O130" i="34"/>
  <c r="N129" i="66"/>
  <c r="N124" i="34"/>
  <c r="M123" i="66"/>
  <c r="I148" i="58"/>
  <c r="I157" i="58" s="1"/>
  <c r="I159" i="58" s="1"/>
  <c r="J127" i="58"/>
  <c r="N146" i="34"/>
  <c r="M145" i="66"/>
  <c r="M146" i="20"/>
  <c r="L135" i="65"/>
  <c r="M133" i="20"/>
  <c r="L122" i="65"/>
  <c r="M151" i="20"/>
  <c r="L140" i="65"/>
  <c r="N127" i="34"/>
  <c r="M126" i="66"/>
  <c r="M141" i="20"/>
  <c r="L130" i="65"/>
  <c r="N120" i="34"/>
  <c r="M119" i="66"/>
  <c r="O135" i="34"/>
  <c r="N134" i="66"/>
  <c r="M112" i="20"/>
  <c r="L101" i="65"/>
  <c r="N126" i="34"/>
  <c r="M125" i="66"/>
  <c r="M139" i="20"/>
  <c r="L128" i="65"/>
  <c r="P77" i="59"/>
  <c r="P87" i="59" s="1"/>
  <c r="P76" i="59"/>
  <c r="P86" i="59"/>
  <c r="O103" i="34"/>
  <c r="N102" i="66"/>
  <c r="N132" i="34"/>
  <c r="M131" i="66"/>
  <c r="M132" i="20"/>
  <c r="L121" i="65"/>
  <c r="M134" i="20"/>
  <c r="L123" i="65"/>
  <c r="M129" i="20"/>
  <c r="L118" i="65"/>
  <c r="N122" i="34"/>
  <c r="M121" i="66"/>
  <c r="O102" i="34"/>
  <c r="N101" i="66"/>
  <c r="J117" i="59"/>
  <c r="I138" i="59"/>
  <c r="I147" i="59" s="1"/>
  <c r="I149" i="59" s="1"/>
  <c r="N133" i="34"/>
  <c r="M132" i="66"/>
  <c r="M131" i="20"/>
  <c r="L120" i="65"/>
  <c r="M130" i="20"/>
  <c r="L119" i="65"/>
  <c r="M140" i="20"/>
  <c r="L129" i="65"/>
  <c r="M137" i="20"/>
  <c r="L126" i="65"/>
  <c r="O144" i="34"/>
  <c r="N143" i="66"/>
  <c r="L154" i="58"/>
  <c r="K154" i="20"/>
  <c r="J143" i="65"/>
  <c r="K128" i="20"/>
  <c r="J117" i="65"/>
  <c r="N80" i="65"/>
  <c r="N86" i="65" s="1"/>
  <c r="N85" i="65"/>
  <c r="O80" i="66"/>
  <c r="O86" i="66" s="1"/>
  <c r="O85" i="66"/>
  <c r="P30" i="66"/>
  <c r="P66" i="66" s="1"/>
  <c r="P79" i="66" s="1"/>
  <c r="O30" i="65"/>
  <c r="O66" i="65" s="1"/>
  <c r="O79" i="65" s="1"/>
  <c r="P28" i="65"/>
  <c r="P26" i="65"/>
  <c r="I110" i="66"/>
  <c r="I108" i="66"/>
  <c r="J110" i="20"/>
  <c r="I99" i="65"/>
  <c r="I103" i="65" s="1"/>
  <c r="F36" i="14"/>
  <c r="K120" i="9" s="1"/>
  <c r="F34" i="68"/>
  <c r="J113" i="63"/>
  <c r="I21" i="63" s="1"/>
  <c r="K117" i="34"/>
  <c r="J138" i="34"/>
  <c r="J147" i="34" s="1"/>
  <c r="N86" i="20"/>
  <c r="N96" i="20"/>
  <c r="O32" i="34"/>
  <c r="O68" i="34" s="1"/>
  <c r="O86" i="34" s="1"/>
  <c r="P40" i="20"/>
  <c r="P38" i="20"/>
  <c r="I104" i="34"/>
  <c r="J99" i="34"/>
  <c r="J98" i="66" s="1"/>
  <c r="J103" i="66" s="1"/>
  <c r="J109" i="20"/>
  <c r="J98" i="65" s="1"/>
  <c r="I114" i="20"/>
  <c r="O42" i="20"/>
  <c r="O78" i="20" s="1"/>
  <c r="N76" i="34"/>
  <c r="N86" i="34"/>
  <c r="N77" i="34"/>
  <c r="N87" i="34" s="1"/>
  <c r="P30" i="34"/>
  <c r="P28" i="34"/>
  <c r="I148" i="20"/>
  <c r="I157" i="20" s="1"/>
  <c r="J127" i="20"/>
  <c r="K116" i="58" l="1"/>
  <c r="J105" i="65"/>
  <c r="J119" i="58"/>
  <c r="J123" i="58" s="1"/>
  <c r="P156" i="20"/>
  <c r="P145" i="65" s="1"/>
  <c r="O145" i="65"/>
  <c r="N139" i="66"/>
  <c r="N141" i="66" s="1"/>
  <c r="O140" i="34"/>
  <c r="N142" i="34"/>
  <c r="J116" i="65"/>
  <c r="J137" i="65" s="1"/>
  <c r="J146" i="65" s="1"/>
  <c r="N130" i="20"/>
  <c r="M119" i="65"/>
  <c r="P102" i="34"/>
  <c r="P101" i="66" s="1"/>
  <c r="O101" i="66"/>
  <c r="M121" i="65"/>
  <c r="J148" i="58"/>
  <c r="J157" i="58" s="1"/>
  <c r="J159" i="58" s="1"/>
  <c r="K127" i="58"/>
  <c r="N142" i="20"/>
  <c r="M131" i="65"/>
  <c r="O134" i="34"/>
  <c r="N133" i="66"/>
  <c r="N138" i="20"/>
  <c r="M127" i="65"/>
  <c r="N139" i="20"/>
  <c r="M128" i="65"/>
  <c r="O120" i="34"/>
  <c r="N119" i="66"/>
  <c r="N133" i="20"/>
  <c r="M122" i="65"/>
  <c r="I177" i="58"/>
  <c r="I168" i="58"/>
  <c r="I178" i="58" s="1"/>
  <c r="I167" i="58"/>
  <c r="N145" i="20"/>
  <c r="M134" i="65"/>
  <c r="O119" i="34"/>
  <c r="N118" i="66"/>
  <c r="N131" i="20"/>
  <c r="M120" i="65"/>
  <c r="O122" i="34"/>
  <c r="N121" i="66"/>
  <c r="O132" i="34"/>
  <c r="N131" i="66"/>
  <c r="N113" i="20"/>
  <c r="M102" i="65"/>
  <c r="O131" i="34"/>
  <c r="N130" i="66"/>
  <c r="O137" i="34"/>
  <c r="N136" i="66"/>
  <c r="O126" i="34"/>
  <c r="N125" i="66"/>
  <c r="N141" i="20"/>
  <c r="M130" i="65"/>
  <c r="N146" i="20"/>
  <c r="M135" i="65"/>
  <c r="O124" i="34"/>
  <c r="N123" i="66"/>
  <c r="O125" i="34"/>
  <c r="N124" i="66"/>
  <c r="O128" i="34"/>
  <c r="N127" i="66"/>
  <c r="O136" i="34"/>
  <c r="N135" i="66"/>
  <c r="N137" i="20"/>
  <c r="M126" i="65"/>
  <c r="O133" i="34"/>
  <c r="N132" i="66"/>
  <c r="N129" i="20"/>
  <c r="M118" i="65"/>
  <c r="P103" i="34"/>
  <c r="P102" i="66" s="1"/>
  <c r="O102" i="66"/>
  <c r="N136" i="20"/>
  <c r="M125" i="65"/>
  <c r="P129" i="34"/>
  <c r="P128" i="66" s="1"/>
  <c r="O128" i="66"/>
  <c r="O123" i="34"/>
  <c r="N122" i="66"/>
  <c r="I158" i="59"/>
  <c r="I168" i="59" s="1"/>
  <c r="I157" i="59"/>
  <c r="I167" i="59"/>
  <c r="N112" i="20"/>
  <c r="M101" i="65"/>
  <c r="O127" i="34"/>
  <c r="N126" i="66"/>
  <c r="O146" i="34"/>
  <c r="N145" i="66"/>
  <c r="P130" i="34"/>
  <c r="P129" i="66" s="1"/>
  <c r="O129" i="66"/>
  <c r="N144" i="20"/>
  <c r="M133" i="65"/>
  <c r="N135" i="20"/>
  <c r="M124" i="65"/>
  <c r="M139" i="65"/>
  <c r="N150" i="20"/>
  <c r="M152" i="20"/>
  <c r="N140" i="20"/>
  <c r="M129" i="65"/>
  <c r="J138" i="59"/>
  <c r="J147" i="59" s="1"/>
  <c r="J149" i="59" s="1"/>
  <c r="K117" i="59"/>
  <c r="K116" i="66" s="1"/>
  <c r="N134" i="20"/>
  <c r="M123" i="65"/>
  <c r="J116" i="66"/>
  <c r="L141" i="65"/>
  <c r="N147" i="20"/>
  <c r="M136" i="65"/>
  <c r="N143" i="20"/>
  <c r="M132" i="65"/>
  <c r="O121" i="34"/>
  <c r="N120" i="66"/>
  <c r="P135" i="34"/>
  <c r="P134" i="66" s="1"/>
  <c r="O134" i="66"/>
  <c r="N151" i="20"/>
  <c r="M140" i="65"/>
  <c r="K118" i="34"/>
  <c r="J117" i="66"/>
  <c r="P141" i="34"/>
  <c r="P140" i="66" s="1"/>
  <c r="O140" i="66"/>
  <c r="BW2" i="40"/>
  <c r="P144" i="34"/>
  <c r="P143" i="66" s="1"/>
  <c r="O143" i="66"/>
  <c r="M154" i="58"/>
  <c r="L154" i="20"/>
  <c r="K143" i="65"/>
  <c r="L128" i="20"/>
  <c r="K117" i="65"/>
  <c r="P80" i="66"/>
  <c r="P86" i="66" s="1"/>
  <c r="P85" i="66"/>
  <c r="O80" i="65"/>
  <c r="O86" i="65" s="1"/>
  <c r="O85" i="65"/>
  <c r="P30" i="65"/>
  <c r="P66" i="65" s="1"/>
  <c r="P79" i="65" s="1"/>
  <c r="K110" i="20"/>
  <c r="J99" i="65"/>
  <c r="J103" i="65" s="1"/>
  <c r="I108" i="65"/>
  <c r="I110" i="65"/>
  <c r="I112" i="66"/>
  <c r="I148" i="66" s="1"/>
  <c r="J110" i="66"/>
  <c r="J108" i="66"/>
  <c r="E48" i="68"/>
  <c r="E46" i="68" s="1"/>
  <c r="I55" i="63"/>
  <c r="I44" i="63"/>
  <c r="I49" i="63"/>
  <c r="I65" i="63"/>
  <c r="I97" i="63"/>
  <c r="I45" i="63"/>
  <c r="I20" i="63"/>
  <c r="I48" i="63"/>
  <c r="I92" i="63"/>
  <c r="I39" i="63"/>
  <c r="I26" i="63"/>
  <c r="I100" i="63"/>
  <c r="I59" i="63"/>
  <c r="I16" i="63"/>
  <c r="I106" i="63"/>
  <c r="I33" i="63"/>
  <c r="I34" i="63"/>
  <c r="I60" i="63"/>
  <c r="I68" i="63"/>
  <c r="I43" i="63"/>
  <c r="I108" i="63"/>
  <c r="I17" i="63"/>
  <c r="I29" i="63"/>
  <c r="I18" i="63"/>
  <c r="I27" i="63"/>
  <c r="I105" i="63"/>
  <c r="I25" i="63"/>
  <c r="I19" i="63"/>
  <c r="I54" i="63"/>
  <c r="I76" i="63"/>
  <c r="I28" i="63"/>
  <c r="I30" i="63"/>
  <c r="I73" i="63"/>
  <c r="I99" i="63"/>
  <c r="I91" i="63"/>
  <c r="I35" i="63"/>
  <c r="I46" i="63"/>
  <c r="I90" i="63"/>
  <c r="I47" i="63"/>
  <c r="I79" i="63"/>
  <c r="I24" i="63"/>
  <c r="I85" i="63"/>
  <c r="I84" i="63"/>
  <c r="I74" i="63"/>
  <c r="I31" i="63"/>
  <c r="I98" i="63"/>
  <c r="I32" i="63"/>
  <c r="I36" i="63"/>
  <c r="I56" i="63"/>
  <c r="I78" i="63"/>
  <c r="I110" i="63"/>
  <c r="I83" i="63"/>
  <c r="I93" i="63"/>
  <c r="I109" i="63"/>
  <c r="I50" i="63"/>
  <c r="I77" i="63"/>
  <c r="I53" i="63"/>
  <c r="I52" i="63"/>
  <c r="I66" i="63"/>
  <c r="I111" i="63"/>
  <c r="I75" i="63"/>
  <c r="I94" i="63"/>
  <c r="I69" i="63"/>
  <c r="I86" i="63"/>
  <c r="I61" i="63"/>
  <c r="I95" i="63"/>
  <c r="I38" i="63"/>
  <c r="I104" i="63"/>
  <c r="I96" i="63"/>
  <c r="I72" i="63"/>
  <c r="I37" i="63"/>
  <c r="I40" i="63"/>
  <c r="I51" i="63"/>
  <c r="I67" i="63"/>
  <c r="I64" i="63"/>
  <c r="I80" i="63"/>
  <c r="I107" i="63"/>
  <c r="I89" i="63"/>
  <c r="I15" i="63"/>
  <c r="K138" i="34"/>
  <c r="K147" i="34" s="1"/>
  <c r="L117" i="34"/>
  <c r="O76" i="34"/>
  <c r="O77" i="34"/>
  <c r="O87" i="34" s="1"/>
  <c r="P32" i="34"/>
  <c r="P68" i="34" s="1"/>
  <c r="P86" i="34" s="1"/>
  <c r="I109" i="34"/>
  <c r="I111" i="34"/>
  <c r="I119" i="20"/>
  <c r="I121" i="20"/>
  <c r="K99" i="34"/>
  <c r="K98" i="66" s="1"/>
  <c r="K103" i="66" s="1"/>
  <c r="J104" i="34"/>
  <c r="O87" i="20"/>
  <c r="O97" i="20" s="1"/>
  <c r="O86" i="20"/>
  <c r="O96" i="20"/>
  <c r="J114" i="20"/>
  <c r="K109" i="20"/>
  <c r="K98" i="65" s="1"/>
  <c r="P42" i="20"/>
  <c r="P78" i="20" s="1"/>
  <c r="K127" i="20"/>
  <c r="J148" i="20"/>
  <c r="J157" i="20" s="1"/>
  <c r="J137" i="66" l="1"/>
  <c r="J146" i="66" s="1"/>
  <c r="M141" i="65"/>
  <c r="L116" i="58"/>
  <c r="K105" i="65"/>
  <c r="K119" i="58"/>
  <c r="K123" i="58" s="1"/>
  <c r="O139" i="66"/>
  <c r="O141" i="66" s="1"/>
  <c r="P140" i="34"/>
  <c r="P139" i="66" s="1"/>
  <c r="P141" i="66" s="1"/>
  <c r="O142" i="34"/>
  <c r="K116" i="65"/>
  <c r="K137" i="65" s="1"/>
  <c r="K146" i="65" s="1"/>
  <c r="P133" i="34"/>
  <c r="P132" i="66" s="1"/>
  <c r="O132" i="66"/>
  <c r="P125" i="34"/>
  <c r="P124" i="66" s="1"/>
  <c r="O124" i="66"/>
  <c r="P126" i="34"/>
  <c r="P125" i="66" s="1"/>
  <c r="O125" i="66"/>
  <c r="P132" i="34"/>
  <c r="P131" i="66" s="1"/>
  <c r="O131" i="66"/>
  <c r="O145" i="20"/>
  <c r="N134" i="65"/>
  <c r="K148" i="58"/>
  <c r="K157" i="58" s="1"/>
  <c r="L127" i="58"/>
  <c r="O139" i="20"/>
  <c r="N128" i="65"/>
  <c r="J167" i="58"/>
  <c r="J177" i="58"/>
  <c r="J168" i="58"/>
  <c r="J178" i="58" s="1"/>
  <c r="N139" i="65"/>
  <c r="N152" i="20"/>
  <c r="O150" i="20"/>
  <c r="O136" i="20"/>
  <c r="N125" i="65"/>
  <c r="O137" i="20"/>
  <c r="N126" i="65"/>
  <c r="P124" i="34"/>
  <c r="P123" i="66" s="1"/>
  <c r="O123" i="66"/>
  <c r="P137" i="34"/>
  <c r="P136" i="66" s="1"/>
  <c r="O136" i="66"/>
  <c r="P122" i="34"/>
  <c r="P121" i="66" s="1"/>
  <c r="O121" i="66"/>
  <c r="P121" i="34"/>
  <c r="P120" i="66" s="1"/>
  <c r="O120" i="66"/>
  <c r="O134" i="20"/>
  <c r="N123" i="65"/>
  <c r="P146" i="34"/>
  <c r="P145" i="66" s="1"/>
  <c r="O145" i="66"/>
  <c r="O138" i="20"/>
  <c r="N127" i="65"/>
  <c r="O132" i="20"/>
  <c r="N121" i="65"/>
  <c r="K138" i="59"/>
  <c r="K147" i="59" s="1"/>
  <c r="K149" i="59" s="1"/>
  <c r="L117" i="59"/>
  <c r="P136" i="34"/>
  <c r="P135" i="66" s="1"/>
  <c r="O135" i="66"/>
  <c r="O146" i="20"/>
  <c r="N135" i="65"/>
  <c r="P131" i="34"/>
  <c r="P130" i="66" s="1"/>
  <c r="O130" i="66"/>
  <c r="O131" i="20"/>
  <c r="N120" i="65"/>
  <c r="L118" i="34"/>
  <c r="K117" i="66"/>
  <c r="K137" i="66" s="1"/>
  <c r="K146" i="66" s="1"/>
  <c r="O143" i="20"/>
  <c r="N132" i="65"/>
  <c r="J157" i="59"/>
  <c r="J167" i="59"/>
  <c r="J158" i="59"/>
  <c r="J168" i="59" s="1"/>
  <c r="O135" i="20"/>
  <c r="N124" i="65"/>
  <c r="P127" i="34"/>
  <c r="P126" i="66" s="1"/>
  <c r="O126" i="66"/>
  <c r="O133" i="20"/>
  <c r="N122" i="65"/>
  <c r="P134" i="34"/>
  <c r="P133" i="66" s="1"/>
  <c r="O133" i="66"/>
  <c r="P123" i="34"/>
  <c r="P122" i="66" s="1"/>
  <c r="O122" i="66"/>
  <c r="O129" i="20"/>
  <c r="N118" i="65"/>
  <c r="P128" i="34"/>
  <c r="P127" i="66" s="1"/>
  <c r="O127" i="66"/>
  <c r="O141" i="20"/>
  <c r="N130" i="65"/>
  <c r="O113" i="20"/>
  <c r="N102" i="65"/>
  <c r="P119" i="34"/>
  <c r="P118" i="66" s="1"/>
  <c r="O118" i="66"/>
  <c r="O151" i="20"/>
  <c r="N140" i="65"/>
  <c r="O147" i="20"/>
  <c r="N136" i="65"/>
  <c r="O140" i="20"/>
  <c r="N129" i="65"/>
  <c r="O144" i="20"/>
  <c r="N133" i="65"/>
  <c r="O112" i="20"/>
  <c r="N101" i="65"/>
  <c r="P120" i="34"/>
  <c r="P119" i="66" s="1"/>
  <c r="O119" i="66"/>
  <c r="O142" i="20"/>
  <c r="N131" i="65"/>
  <c r="O130" i="20"/>
  <c r="N119" i="65"/>
  <c r="F54" i="68"/>
  <c r="K115" i="63" s="1"/>
  <c r="F52" i="68"/>
  <c r="N154" i="58"/>
  <c r="M154" i="20"/>
  <c r="L143" i="65"/>
  <c r="M128" i="20"/>
  <c r="L117" i="65"/>
  <c r="P80" i="65"/>
  <c r="P86" i="65" s="1"/>
  <c r="J112" i="66"/>
  <c r="P85" i="65"/>
  <c r="I112" i="65"/>
  <c r="I148" i="65" s="1"/>
  <c r="I162" i="65" s="1"/>
  <c r="I168" i="65" s="1"/>
  <c r="J108" i="65"/>
  <c r="J110" i="65"/>
  <c r="K110" i="66"/>
  <c r="K108" i="66"/>
  <c r="I167" i="66"/>
  <c r="I162" i="66"/>
  <c r="I168" i="66" s="1"/>
  <c r="I161" i="66"/>
  <c r="L110" i="20"/>
  <c r="K99" i="65"/>
  <c r="K103" i="65" s="1"/>
  <c r="M117" i="34"/>
  <c r="L138" i="34"/>
  <c r="L147" i="34" s="1"/>
  <c r="P77" i="34"/>
  <c r="P87" i="34" s="1"/>
  <c r="P76" i="34"/>
  <c r="I113" i="34"/>
  <c r="I149" i="34" s="1"/>
  <c r="I157" i="34" s="1"/>
  <c r="I123" i="20"/>
  <c r="I159" i="20" s="1"/>
  <c r="I177" i="20" s="1"/>
  <c r="K104" i="34"/>
  <c r="L99" i="34"/>
  <c r="L98" i="66" s="1"/>
  <c r="L103" i="66" s="1"/>
  <c r="P96" i="20"/>
  <c r="P86" i="20"/>
  <c r="P87" i="20"/>
  <c r="P97" i="20" s="1"/>
  <c r="L109" i="20"/>
  <c r="L98" i="65" s="1"/>
  <c r="K114" i="20"/>
  <c r="J119" i="20"/>
  <c r="J121" i="20"/>
  <c r="J111" i="34"/>
  <c r="J109" i="34"/>
  <c r="L127" i="20"/>
  <c r="K148" i="20"/>
  <c r="K157" i="20" s="1"/>
  <c r="K159" i="58" l="1"/>
  <c r="K168" i="58" s="1"/>
  <c r="K178" i="58" s="1"/>
  <c r="J148" i="66"/>
  <c r="J167" i="66" s="1"/>
  <c r="M116" i="58"/>
  <c r="L105" i="65"/>
  <c r="L119" i="58"/>
  <c r="L123" i="58" s="1"/>
  <c r="P142" i="34"/>
  <c r="L116" i="65"/>
  <c r="L137" i="65" s="1"/>
  <c r="L146" i="65" s="1"/>
  <c r="L117" i="66"/>
  <c r="M118" i="34"/>
  <c r="M138" i="34" s="1"/>
  <c r="M147" i="34" s="1"/>
  <c r="P138" i="20"/>
  <c r="P127" i="65" s="1"/>
  <c r="O127" i="65"/>
  <c r="P144" i="20"/>
  <c r="P133" i="65" s="1"/>
  <c r="O133" i="65"/>
  <c r="P142" i="20"/>
  <c r="P131" i="65" s="1"/>
  <c r="O131" i="65"/>
  <c r="P140" i="20"/>
  <c r="P129" i="65" s="1"/>
  <c r="O129" i="65"/>
  <c r="P113" i="20"/>
  <c r="P102" i="65" s="1"/>
  <c r="O102" i="65"/>
  <c r="P135" i="20"/>
  <c r="P124" i="65" s="1"/>
  <c r="O124" i="65"/>
  <c r="P136" i="20"/>
  <c r="P125" i="65" s="1"/>
  <c r="O125" i="65"/>
  <c r="P139" i="20"/>
  <c r="P128" i="65" s="1"/>
  <c r="O128" i="65"/>
  <c r="P131" i="20"/>
  <c r="P120" i="65" s="1"/>
  <c r="O120" i="65"/>
  <c r="M117" i="59"/>
  <c r="L138" i="59"/>
  <c r="L147" i="59" s="1"/>
  <c r="L149" i="59" s="1"/>
  <c r="O139" i="65"/>
  <c r="P150" i="20"/>
  <c r="O152" i="20"/>
  <c r="M127" i="58"/>
  <c r="L148" i="58"/>
  <c r="L157" i="58" s="1"/>
  <c r="P129" i="20"/>
  <c r="P118" i="65" s="1"/>
  <c r="O118" i="65"/>
  <c r="P137" i="20"/>
  <c r="P126" i="65" s="1"/>
  <c r="O126" i="65"/>
  <c r="P147" i="20"/>
  <c r="P136" i="65" s="1"/>
  <c r="O136" i="65"/>
  <c r="P141" i="20"/>
  <c r="P130" i="65" s="1"/>
  <c r="O130" i="65"/>
  <c r="K157" i="59"/>
  <c r="K167" i="59"/>
  <c r="K158" i="59"/>
  <c r="K168" i="59" s="1"/>
  <c r="K167" i="58"/>
  <c r="K177" i="58"/>
  <c r="L116" i="66"/>
  <c r="N141" i="65"/>
  <c r="P130" i="20"/>
  <c r="P119" i="65" s="1"/>
  <c r="O119" i="65"/>
  <c r="P112" i="20"/>
  <c r="P101" i="65" s="1"/>
  <c r="O101" i="65"/>
  <c r="P151" i="20"/>
  <c r="P140" i="65" s="1"/>
  <c r="O140" i="65"/>
  <c r="P133" i="20"/>
  <c r="P122" i="65" s="1"/>
  <c r="O122" i="65"/>
  <c r="P134" i="20"/>
  <c r="P123" i="65" s="1"/>
  <c r="O123" i="65"/>
  <c r="P145" i="20"/>
  <c r="P134" i="65" s="1"/>
  <c r="O134" i="65"/>
  <c r="P143" i="20"/>
  <c r="P132" i="65" s="1"/>
  <c r="O132" i="65"/>
  <c r="P146" i="20"/>
  <c r="P135" i="65" s="1"/>
  <c r="O135" i="65"/>
  <c r="P132" i="20"/>
  <c r="P121" i="65" s="1"/>
  <c r="O121" i="65"/>
  <c r="O154" i="58"/>
  <c r="N154" i="20"/>
  <c r="M143" i="65"/>
  <c r="N128" i="20"/>
  <c r="M117" i="65"/>
  <c r="K112" i="66"/>
  <c r="K148" i="66" s="1"/>
  <c r="K161" i="66" s="1"/>
  <c r="I161" i="65"/>
  <c r="I167" i="65"/>
  <c r="L110" i="66"/>
  <c r="L108" i="66"/>
  <c r="M110" i="20"/>
  <c r="L99" i="65"/>
  <c r="L103" i="65" s="1"/>
  <c r="K110" i="65"/>
  <c r="K108" i="65"/>
  <c r="J112" i="65"/>
  <c r="J148" i="65" s="1"/>
  <c r="N117" i="34"/>
  <c r="I158" i="34"/>
  <c r="I168" i="34" s="1"/>
  <c r="I167" i="34"/>
  <c r="I168" i="20"/>
  <c r="I178" i="20" s="1"/>
  <c r="J123" i="20"/>
  <c r="J159" i="20" s="1"/>
  <c r="J168" i="20" s="1"/>
  <c r="J178" i="20" s="1"/>
  <c r="I167" i="20"/>
  <c r="K111" i="34"/>
  <c r="K109" i="34"/>
  <c r="J113" i="34"/>
  <c r="J149" i="34" s="1"/>
  <c r="K121" i="20"/>
  <c r="K119" i="20"/>
  <c r="M109" i="20"/>
  <c r="M98" i="65" s="1"/>
  <c r="L114" i="20"/>
  <c r="M99" i="34"/>
  <c r="M98" i="66" s="1"/>
  <c r="M103" i="66" s="1"/>
  <c r="L104" i="34"/>
  <c r="M127" i="20"/>
  <c r="L148" i="20"/>
  <c r="L157" i="20" s="1"/>
  <c r="J162" i="66" l="1"/>
  <c r="J168" i="66" s="1"/>
  <c r="J161" i="66"/>
  <c r="L159" i="58"/>
  <c r="L177" i="58" s="1"/>
  <c r="O141" i="65"/>
  <c r="N116" i="58"/>
  <c r="M105" i="65"/>
  <c r="M119" i="58"/>
  <c r="M123" i="58" s="1"/>
  <c r="M116" i="65"/>
  <c r="K162" i="66"/>
  <c r="K168" i="66" s="1"/>
  <c r="L158" i="59"/>
  <c r="L168" i="59" s="1"/>
  <c r="L167" i="59"/>
  <c r="L157" i="59"/>
  <c r="M137" i="65"/>
  <c r="M146" i="65" s="1"/>
  <c r="M138" i="59"/>
  <c r="M147" i="59" s="1"/>
  <c r="M149" i="59" s="1"/>
  <c r="N117" i="59"/>
  <c r="N116" i="66" s="1"/>
  <c r="L137" i="66"/>
  <c r="L146" i="66" s="1"/>
  <c r="M148" i="58"/>
  <c r="M157" i="58" s="1"/>
  <c r="N127" i="58"/>
  <c r="M116" i="66"/>
  <c r="N118" i="34"/>
  <c r="N138" i="34" s="1"/>
  <c r="N147" i="34" s="1"/>
  <c r="M117" i="66"/>
  <c r="P152" i="20"/>
  <c r="P139" i="65"/>
  <c r="P141" i="65" s="1"/>
  <c r="K167" i="66"/>
  <c r="P154" i="58"/>
  <c r="O154" i="20"/>
  <c r="N143" i="65"/>
  <c r="O128" i="20"/>
  <c r="N117" i="65"/>
  <c r="L112" i="66"/>
  <c r="K112" i="65"/>
  <c r="K148" i="65" s="1"/>
  <c r="K161" i="65" s="1"/>
  <c r="L108" i="65"/>
  <c r="L110" i="65"/>
  <c r="N110" i="20"/>
  <c r="M99" i="65"/>
  <c r="M103" i="65" s="1"/>
  <c r="J162" i="65"/>
  <c r="J168" i="65" s="1"/>
  <c r="J167" i="65"/>
  <c r="J161" i="65"/>
  <c r="M110" i="66"/>
  <c r="M108" i="66"/>
  <c r="O117" i="34"/>
  <c r="J167" i="20"/>
  <c r="J177" i="20"/>
  <c r="M104" i="34"/>
  <c r="N99" i="34"/>
  <c r="N98" i="66" s="1"/>
  <c r="N103" i="66" s="1"/>
  <c r="M114" i="20"/>
  <c r="N109" i="20"/>
  <c r="N98" i="65" s="1"/>
  <c r="J158" i="34"/>
  <c r="J168" i="34" s="1"/>
  <c r="J157" i="34"/>
  <c r="J167" i="34"/>
  <c r="L121" i="20"/>
  <c r="L119" i="20"/>
  <c r="L109" i="34"/>
  <c r="L111" i="34"/>
  <c r="K123" i="20"/>
  <c r="K159" i="20" s="1"/>
  <c r="K113" i="34"/>
  <c r="K149" i="34" s="1"/>
  <c r="M148" i="20"/>
  <c r="M157" i="20" s="1"/>
  <c r="N127" i="20"/>
  <c r="M159" i="58" l="1"/>
  <c r="L167" i="58"/>
  <c r="L168" i="58"/>
  <c r="L178" i="58" s="1"/>
  <c r="N116" i="65"/>
  <c r="O116" i="58"/>
  <c r="N105" i="65"/>
  <c r="N119" i="58"/>
  <c r="N123" i="58" s="1"/>
  <c r="N137" i="65"/>
  <c r="N146" i="65" s="1"/>
  <c r="L148" i="66"/>
  <c r="L161" i="66" s="1"/>
  <c r="O118" i="34"/>
  <c r="O138" i="34" s="1"/>
  <c r="O147" i="34" s="1"/>
  <c r="N117" i="66"/>
  <c r="N137" i="66" s="1"/>
  <c r="N146" i="66" s="1"/>
  <c r="N138" i="59"/>
  <c r="N147" i="59" s="1"/>
  <c r="N149" i="59" s="1"/>
  <c r="O117" i="59"/>
  <c r="O116" i="66" s="1"/>
  <c r="M158" i="59"/>
  <c r="M168" i="59" s="1"/>
  <c r="M167" i="59"/>
  <c r="M157" i="59"/>
  <c r="O127" i="58"/>
  <c r="N148" i="58"/>
  <c r="N157" i="58" s="1"/>
  <c r="M137" i="66"/>
  <c r="M146" i="66" s="1"/>
  <c r="M177" i="58"/>
  <c r="M168" i="58"/>
  <c r="M178" i="58" s="1"/>
  <c r="M167" i="58"/>
  <c r="P154" i="20"/>
  <c r="P143" i="65" s="1"/>
  <c r="O143" i="65"/>
  <c r="P128" i="20"/>
  <c r="P117" i="65" s="1"/>
  <c r="O117" i="65"/>
  <c r="K167" i="65"/>
  <c r="K162" i="65"/>
  <c r="K168" i="65" s="1"/>
  <c r="M112" i="66"/>
  <c r="O110" i="20"/>
  <c r="N99" i="65"/>
  <c r="N103" i="65" s="1"/>
  <c r="N110" i="66"/>
  <c r="N108" i="66"/>
  <c r="M108" i="65"/>
  <c r="M110" i="65"/>
  <c r="L112" i="65"/>
  <c r="L148" i="65" s="1"/>
  <c r="P117" i="34"/>
  <c r="L113" i="34"/>
  <c r="L149" i="34" s="1"/>
  <c r="L167" i="34" s="1"/>
  <c r="L123" i="20"/>
  <c r="L159" i="20" s="1"/>
  <c r="L177" i="20" s="1"/>
  <c r="O109" i="20"/>
  <c r="O98" i="65" s="1"/>
  <c r="N114" i="20"/>
  <c r="M119" i="20"/>
  <c r="M121" i="20"/>
  <c r="K167" i="34"/>
  <c r="K157" i="34"/>
  <c r="K158" i="34"/>
  <c r="K168" i="34" s="1"/>
  <c r="N104" i="34"/>
  <c r="O99" i="34"/>
  <c r="O98" i="66" s="1"/>
  <c r="O103" i="66" s="1"/>
  <c r="K177" i="20"/>
  <c r="K167" i="20"/>
  <c r="K168" i="20"/>
  <c r="K178" i="20" s="1"/>
  <c r="M109" i="34"/>
  <c r="M111" i="34"/>
  <c r="N148" i="20"/>
  <c r="N157" i="20" s="1"/>
  <c r="O127" i="20"/>
  <c r="N159" i="58" l="1"/>
  <c r="N167" i="58" s="1"/>
  <c r="P116" i="58"/>
  <c r="O105" i="65"/>
  <c r="O119" i="58"/>
  <c r="O123" i="58" s="1"/>
  <c r="L162" i="66"/>
  <c r="L168" i="66" s="1"/>
  <c r="L167" i="66"/>
  <c r="M148" i="66"/>
  <c r="M167" i="66" s="1"/>
  <c r="O138" i="59"/>
  <c r="O147" i="59" s="1"/>
  <c r="O149" i="59" s="1"/>
  <c r="P117" i="59"/>
  <c r="P138" i="59" s="1"/>
  <c r="P147" i="59" s="1"/>
  <c r="P149" i="59" s="1"/>
  <c r="N157" i="59"/>
  <c r="N158" i="59"/>
  <c r="N168" i="59" s="1"/>
  <c r="N167" i="59"/>
  <c r="O116" i="65"/>
  <c r="O137" i="65" s="1"/>
  <c r="O146" i="65" s="1"/>
  <c r="N168" i="58"/>
  <c r="N178" i="58" s="1"/>
  <c r="N177" i="58"/>
  <c r="P118" i="34"/>
  <c r="P117" i="66" s="1"/>
  <c r="O117" i="66"/>
  <c r="O137" i="66" s="1"/>
  <c r="O146" i="66" s="1"/>
  <c r="O148" i="58"/>
  <c r="O157" i="58" s="1"/>
  <c r="O159" i="58" s="1"/>
  <c r="P127" i="58"/>
  <c r="P148" i="58" s="1"/>
  <c r="P157" i="58" s="1"/>
  <c r="M112" i="65"/>
  <c r="M148" i="65" s="1"/>
  <c r="M167" i="65" s="1"/>
  <c r="N112" i="66"/>
  <c r="N148" i="66" s="1"/>
  <c r="N162" i="66" s="1"/>
  <c r="N168" i="66" s="1"/>
  <c r="N110" i="65"/>
  <c r="N108" i="65"/>
  <c r="P110" i="20"/>
  <c r="P99" i="65" s="1"/>
  <c r="O99" i="65"/>
  <c r="O103" i="65" s="1"/>
  <c r="O110" i="66"/>
  <c r="O108" i="66"/>
  <c r="L167" i="65"/>
  <c r="L161" i="65"/>
  <c r="L162" i="65"/>
  <c r="L168" i="65" s="1"/>
  <c r="L157" i="34"/>
  <c r="L158" i="34"/>
  <c r="L168" i="34" s="1"/>
  <c r="L167" i="20"/>
  <c r="L168" i="20"/>
  <c r="L178" i="20" s="1"/>
  <c r="M113" i="34"/>
  <c r="M149" i="34" s="1"/>
  <c r="P99" i="34"/>
  <c r="O104" i="34"/>
  <c r="N111" i="34"/>
  <c r="N109" i="34"/>
  <c r="M123" i="20"/>
  <c r="M159" i="20" s="1"/>
  <c r="N121" i="20"/>
  <c r="N119" i="20"/>
  <c r="P109" i="20"/>
  <c r="O114" i="20"/>
  <c r="P127" i="20"/>
  <c r="O148" i="20"/>
  <c r="O157" i="20" s="1"/>
  <c r="P138" i="34" l="1"/>
  <c r="P147" i="34" s="1"/>
  <c r="P105" i="65"/>
  <c r="P119" i="58"/>
  <c r="P123" i="58" s="1"/>
  <c r="P159" i="58" s="1"/>
  <c r="P116" i="66"/>
  <c r="P137" i="66" s="1"/>
  <c r="P146" i="66" s="1"/>
  <c r="M161" i="66"/>
  <c r="M162" i="66"/>
  <c r="M168" i="66" s="1"/>
  <c r="N161" i="66"/>
  <c r="O167" i="58"/>
  <c r="O177" i="58"/>
  <c r="O168" i="58"/>
  <c r="O178" i="58" s="1"/>
  <c r="P167" i="59"/>
  <c r="P158" i="59"/>
  <c r="P168" i="59" s="1"/>
  <c r="P157" i="59"/>
  <c r="O157" i="59"/>
  <c r="O158" i="59"/>
  <c r="O168" i="59" s="1"/>
  <c r="O167" i="59"/>
  <c r="M161" i="65"/>
  <c r="P148" i="20"/>
  <c r="P157" i="20" s="1"/>
  <c r="P116" i="65"/>
  <c r="P137" i="65" s="1"/>
  <c r="P146" i="65" s="1"/>
  <c r="M162" i="65"/>
  <c r="M168" i="65" s="1"/>
  <c r="N167" i="66"/>
  <c r="N112" i="65"/>
  <c r="N148" i="65" s="1"/>
  <c r="N167" i="65" s="1"/>
  <c r="O110" i="65"/>
  <c r="O108" i="65"/>
  <c r="P114" i="20"/>
  <c r="P119" i="20" s="1"/>
  <c r="P98" i="65"/>
  <c r="P103" i="65" s="1"/>
  <c r="O112" i="66"/>
  <c r="O148" i="66" s="1"/>
  <c r="P104" i="34"/>
  <c r="P109" i="34" s="1"/>
  <c r="P98" i="66"/>
  <c r="P103" i="66" s="1"/>
  <c r="N123" i="20"/>
  <c r="N159" i="20" s="1"/>
  <c r="N168" i="20" s="1"/>
  <c r="N178" i="20" s="1"/>
  <c r="O119" i="20"/>
  <c r="O121" i="20"/>
  <c r="O111" i="34"/>
  <c r="O109" i="34"/>
  <c r="M167" i="20"/>
  <c r="M168" i="20"/>
  <c r="M178" i="20" s="1"/>
  <c r="M177" i="20"/>
  <c r="N113" i="34"/>
  <c r="N149" i="34" s="1"/>
  <c r="M158" i="34"/>
  <c r="M168" i="34" s="1"/>
  <c r="M167" i="34"/>
  <c r="M157" i="34"/>
  <c r="P167" i="58" l="1"/>
  <c r="P168" i="58"/>
  <c r="P178" i="58" s="1"/>
  <c r="P177" i="58"/>
  <c r="N162" i="65"/>
  <c r="N168" i="65" s="1"/>
  <c r="P111" i="34"/>
  <c r="P113" i="34" s="1"/>
  <c r="P149" i="34" s="1"/>
  <c r="N161" i="65"/>
  <c r="O112" i="65"/>
  <c r="O148" i="65" s="1"/>
  <c r="O167" i="65" s="1"/>
  <c r="P110" i="65"/>
  <c r="P108" i="65"/>
  <c r="P110" i="66"/>
  <c r="P108" i="66"/>
  <c r="P121" i="20"/>
  <c r="P123" i="20" s="1"/>
  <c r="P159" i="20" s="1"/>
  <c r="O162" i="66"/>
  <c r="O168" i="66" s="1"/>
  <c r="O167" i="66"/>
  <c r="O161" i="66"/>
  <c r="O113" i="34"/>
  <c r="O149" i="34" s="1"/>
  <c r="O157" i="34" s="1"/>
  <c r="N167" i="20"/>
  <c r="N177" i="20"/>
  <c r="N157" i="34"/>
  <c r="N167" i="34"/>
  <c r="N158" i="34"/>
  <c r="N168" i="34" s="1"/>
  <c r="O123" i="20"/>
  <c r="O159" i="20" s="1"/>
  <c r="O162" i="65" l="1"/>
  <c r="O168" i="65" s="1"/>
  <c r="O161" i="65"/>
  <c r="P112" i="65"/>
  <c r="P148" i="65" s="1"/>
  <c r="P167" i="65" s="1"/>
  <c r="P112" i="66"/>
  <c r="P148" i="66" s="1"/>
  <c r="O158" i="34"/>
  <c r="O168" i="34" s="1"/>
  <c r="O167" i="34"/>
  <c r="P157" i="34"/>
  <c r="P158" i="34"/>
  <c r="P168" i="34" s="1"/>
  <c r="P167" i="34"/>
  <c r="P177" i="20"/>
  <c r="P168" i="20"/>
  <c r="P178" i="20" s="1"/>
  <c r="P167" i="20"/>
  <c r="O177" i="20"/>
  <c r="O168" i="20"/>
  <c r="O178" i="20" s="1"/>
  <c r="O167" i="20"/>
  <c r="P161" i="65" l="1"/>
  <c r="P162" i="65"/>
  <c r="P168" i="65" s="1"/>
  <c r="P167" i="66"/>
  <c r="P162" i="66"/>
  <c r="P168" i="66" s="1"/>
  <c r="P161" i="66"/>
</calcChain>
</file>

<file path=xl/comments1.xml><?xml version="1.0" encoding="utf-8"?>
<comments xmlns="http://schemas.openxmlformats.org/spreadsheetml/2006/main">
  <authors>
    <author>Harrington, Sean (COM)</author>
  </authors>
  <commentList>
    <comment ref="D68" authorId="0" shape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D69"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6" authorId="0" shapeId="0">
      <text>
        <r>
          <rPr>
            <b/>
            <sz val="9"/>
            <color indexed="81"/>
            <rFont val="Tahoma"/>
            <family val="2"/>
          </rPr>
          <t xml:space="preserve">Note:
</t>
        </r>
        <r>
          <rPr>
            <sz val="9"/>
            <color indexed="81"/>
            <rFont val="Tahoma"/>
            <family val="2"/>
          </rPr>
          <t>If you claim points for Criterion 5.2a, you CANNOT also claim points for Criterion 5.8a</t>
        </r>
      </text>
    </comment>
    <comment ref="D78" authorId="0" shapeId="0">
      <text>
        <r>
          <rPr>
            <b/>
            <sz val="9"/>
            <color indexed="81"/>
            <rFont val="Tahoma"/>
            <family val="2"/>
          </rPr>
          <t xml:space="preserve">Note:
</t>
        </r>
        <r>
          <rPr>
            <sz val="9"/>
            <color indexed="81"/>
            <rFont val="Tahoma"/>
            <family val="2"/>
          </rPr>
          <t>If you claim points for Criterion 5.2a, you CANNOT also claim points for Criterion 5.8c</t>
        </r>
      </text>
    </comment>
    <comment ref="D80" authorId="0" shape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 ref="D81"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82"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83"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2.xml><?xml version="1.0" encoding="utf-8"?>
<comments xmlns="http://schemas.openxmlformats.org/spreadsheetml/2006/main">
  <authors>
    <author>Harrington, Sean (COM)</author>
  </authors>
  <commentList>
    <comment ref="D68" authorId="0" shape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D69"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6" authorId="0" shapeId="0">
      <text>
        <r>
          <rPr>
            <b/>
            <sz val="9"/>
            <color indexed="81"/>
            <rFont val="Tahoma"/>
            <family val="2"/>
          </rPr>
          <t xml:space="preserve">Note:
</t>
        </r>
        <r>
          <rPr>
            <sz val="9"/>
            <color indexed="81"/>
            <rFont val="Tahoma"/>
            <family val="2"/>
          </rPr>
          <t>If you claim points for Criterion 5.2a, you CANNOT also claim points for Criterion 5.8a</t>
        </r>
      </text>
    </comment>
    <comment ref="D78" authorId="0" shapeId="0">
      <text>
        <r>
          <rPr>
            <b/>
            <sz val="9"/>
            <color indexed="81"/>
            <rFont val="Tahoma"/>
            <family val="2"/>
          </rPr>
          <t xml:space="preserve">Note:
</t>
        </r>
        <r>
          <rPr>
            <sz val="9"/>
            <color indexed="81"/>
            <rFont val="Tahoma"/>
            <family val="2"/>
          </rPr>
          <t>If you claim points for Criterion 5.2a, you CANNOT also claim points for Criterion 5.8c</t>
        </r>
      </text>
    </comment>
    <comment ref="D80" authorId="0" shape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 ref="D81"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82"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83"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3.xml><?xml version="1.0" encoding="utf-8"?>
<comments xmlns="http://schemas.openxmlformats.org/spreadsheetml/2006/main">
  <authors>
    <author>Harrington, Sean (COM)</author>
  </authors>
  <commentList>
    <comment ref="N23" authorId="0" shapeId="0">
      <text>
        <r>
          <rPr>
            <b/>
            <sz val="9"/>
            <color indexed="81"/>
            <rFont val="Tahoma"/>
            <family val="2"/>
          </rPr>
          <t>Commerce</t>
        </r>
        <r>
          <rPr>
            <sz val="9"/>
            <color indexed="81"/>
            <rFont val="Tahoma"/>
            <family val="2"/>
          </rPr>
          <t xml:space="preserve">
(e.g. deferred, cash flow only)</t>
        </r>
      </text>
    </comment>
    <comment ref="N39" authorId="0" shapeId="0">
      <text>
        <r>
          <rPr>
            <b/>
            <sz val="9"/>
            <color indexed="81"/>
            <rFont val="Tahoma"/>
            <family val="2"/>
          </rPr>
          <t xml:space="preserve">Commerce
</t>
        </r>
        <r>
          <rPr>
            <sz val="9"/>
            <color indexed="81"/>
            <rFont val="Tahoma"/>
            <family val="2"/>
          </rPr>
          <t>(e.g. deferred, cash flow only)</t>
        </r>
      </text>
    </comment>
  </commentList>
</comments>
</file>

<file path=xl/comments4.xml><?xml version="1.0" encoding="utf-8"?>
<comments xmlns="http://schemas.openxmlformats.org/spreadsheetml/2006/main">
  <authors>
    <author>Harrington, Sean (COM)</author>
  </authors>
  <commentList>
    <comment ref="N23" authorId="0" shapeId="0">
      <text>
        <r>
          <rPr>
            <b/>
            <sz val="9"/>
            <color indexed="81"/>
            <rFont val="Tahoma"/>
            <family val="2"/>
          </rPr>
          <t>Commerce</t>
        </r>
        <r>
          <rPr>
            <sz val="9"/>
            <color indexed="81"/>
            <rFont val="Tahoma"/>
            <family val="2"/>
          </rPr>
          <t xml:space="preserve">
(e.g. deferred, cash flow only)</t>
        </r>
      </text>
    </comment>
    <comment ref="N39" authorId="0" shapeId="0">
      <text>
        <r>
          <rPr>
            <b/>
            <sz val="9"/>
            <color indexed="81"/>
            <rFont val="Tahoma"/>
            <family val="2"/>
          </rPr>
          <t xml:space="preserve">Commerce
</t>
        </r>
        <r>
          <rPr>
            <sz val="9"/>
            <color indexed="81"/>
            <rFont val="Tahoma"/>
            <family val="2"/>
          </rPr>
          <t>(e.g. deferred, cash flow only)</t>
        </r>
      </text>
    </comment>
  </commentList>
</comments>
</file>

<file path=xl/comments5.xml><?xml version="1.0" encoding="utf-8"?>
<comments xmlns="http://schemas.openxmlformats.org/spreadsheetml/2006/main">
  <authors>
    <author>Harrington, Sean (COM)</author>
  </authors>
  <commentList>
    <comment ref="I14" authorId="0" shapeId="0">
      <text>
        <r>
          <rPr>
            <b/>
            <sz val="9"/>
            <color indexed="81"/>
            <rFont val="Tahoma"/>
            <family val="2"/>
          </rPr>
          <t xml:space="preserve">Commerce:
</t>
        </r>
        <r>
          <rPr>
            <sz val="9"/>
            <color indexed="81"/>
            <rFont val="Tahoma"/>
            <family val="2"/>
          </rPr>
          <t xml:space="preserve">List "Current" if still managing
</t>
        </r>
      </text>
    </comment>
    <comment ref="J14" authorId="0" shapeId="0">
      <text>
        <r>
          <rPr>
            <b/>
            <sz val="9"/>
            <color indexed="81"/>
            <rFont val="Tahoma"/>
            <family val="2"/>
          </rPr>
          <t>Commerce:</t>
        </r>
        <r>
          <rPr>
            <sz val="9"/>
            <color indexed="81"/>
            <rFont val="Tahoma"/>
            <family val="2"/>
          </rPr>
          <t xml:space="preserve">
HUD, HTF, LIHTC, etc.</t>
        </r>
      </text>
    </comment>
  </commentList>
</comments>
</file>

<file path=xl/sharedStrings.xml><?xml version="1.0" encoding="utf-8"?>
<sst xmlns="http://schemas.openxmlformats.org/spreadsheetml/2006/main" count="6360" uniqueCount="1681">
  <si>
    <t>Form 1A: Project Summary</t>
  </si>
  <si>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</si>
  <si>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</si>
  <si>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</si>
  <si>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</si>
  <si>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</si>
  <si>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</si>
  <si>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</si>
  <si>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</si>
  <si>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</si>
  <si>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</si>
  <si>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</si>
  <si>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</si>
  <si>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</si>
  <si>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</si>
  <si>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</si>
  <si>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</si>
  <si>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</si>
  <si>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</si>
  <si>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</si>
  <si>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</si>
  <si>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</si>
  <si>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</si>
  <si>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</si>
  <si>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</si>
  <si>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</si>
  <si>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</si>
  <si>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</si>
  <si>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</si>
  <si>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</si>
  <si>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</si>
  <si>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</si>
  <si>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</si>
  <si>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</si>
  <si>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
  </si>
  <si>
    <t>Total Units in Project</t>
  </si>
  <si>
    <t>AMI 
Targets</t>
  </si>
  <si>
    <t>Beds</t>
  </si>
  <si>
    <t>SRO</t>
  </si>
  <si>
    <t>Studio</t>
  </si>
  <si>
    <t>1BR</t>
  </si>
  <si>
    <t>2BR</t>
  </si>
  <si>
    <t>3BR</t>
  </si>
  <si>
    <t>4BR</t>
  </si>
  <si>
    <t>5BR</t>
  </si>
  <si>
    <t>Total Units</t>
  </si>
  <si>
    <t>Total Low-Income Units</t>
  </si>
  <si>
    <t xml:space="preserve">Market Rate </t>
  </si>
  <si>
    <t>Common Area</t>
  </si>
  <si>
    <t>TOTAL UNITS</t>
  </si>
  <si>
    <t># of ADA Compliant Units</t>
  </si>
  <si>
    <t>Building Type</t>
  </si>
  <si>
    <t>Building Activity</t>
  </si>
  <si>
    <t>Year building received original Certificate of Occupancy</t>
  </si>
  <si>
    <t>Transitional Housing for the Homeless?</t>
  </si>
  <si>
    <t>Low-Income Units</t>
  </si>
  <si>
    <t>Market Rate Units</t>
  </si>
  <si>
    <t>Common Area Units</t>
  </si>
  <si>
    <t>Expected Placed-In-Service Date</t>
  </si>
  <si>
    <t>Project Name</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</si>
  <si>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</si>
  <si>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</si>
  <si>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</si>
  <si>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</si>
  <si>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</si>
  <si>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</si>
  <si>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</si>
  <si>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</si>
  <si>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</si>
  <si>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</si>
  <si>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</si>
  <si>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</si>
  <si>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</si>
  <si>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</si>
  <si>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</si>
  <si>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Population Type</t>
  </si>
  <si>
    <t>Homeless at Entry?</t>
  </si>
  <si>
    <t>Residency Type</t>
  </si>
  <si>
    <t>Unit 
or Bed</t>
  </si>
  <si>
    <t># Units /Beds</t>
  </si>
  <si>
    <t>Population Type Notes</t>
  </si>
  <si>
    <t>Form 4: Relocation Budget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</si>
  <si>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</si>
  <si>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</si>
  <si>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</si>
  <si>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</si>
  <si>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</si>
  <si>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</si>
  <si>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</si>
  <si>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</si>
  <si>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</si>
  <si>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</si>
  <si>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</si>
  <si>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</si>
  <si>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</si>
  <si>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</si>
  <si>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</si>
  <si>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</si>
  <si>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</si>
  <si>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</si>
  <si>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</si>
  <si>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Status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</si>
  <si>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</si>
  <si>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</si>
  <si>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</si>
  <si>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</si>
  <si>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</si>
  <si>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</si>
  <si>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</si>
  <si>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</si>
  <si>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</si>
  <si>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</si>
  <si>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</si>
  <si>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</si>
  <si>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</si>
  <si>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</si>
  <si>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</si>
  <si>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</si>
  <si>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</si>
  <si>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</si>
  <si>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</si>
  <si>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</si>
  <si>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</si>
  <si>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</si>
  <si>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</si>
  <si>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</si>
  <si>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</si>
  <si>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</si>
  <si>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</si>
  <si>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</si>
  <si>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</si>
  <si>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</si>
  <si>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Application for funding (specify source):</t>
  </si>
  <si>
    <t>Construction cost estimate</t>
  </si>
  <si>
    <t>Lender selection</t>
  </si>
  <si>
    <t>Funding for services</t>
  </si>
  <si>
    <t>Award date for funding source (specify):*</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</si>
  <si>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</si>
  <si>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</si>
  <si>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</si>
  <si>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</si>
  <si>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</si>
  <si>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</si>
  <si>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</si>
  <si>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</si>
  <si>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</si>
  <si>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</si>
  <si>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Form 5: Project Schedule (Page 2)</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</si>
  <si>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</si>
  <si>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</si>
  <si>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</si>
  <si>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</si>
  <si>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</si>
  <si>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</si>
  <si>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</si>
  <si>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</si>
  <si>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</si>
  <si>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</si>
  <si>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</si>
  <si>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</si>
  <si>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</si>
  <si>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</si>
  <si>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</si>
  <si>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</si>
  <si>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</si>
  <si>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</si>
  <si>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</si>
  <si>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</si>
  <si>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</si>
  <si>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</si>
  <si>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</si>
  <si>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</si>
  <si>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</si>
  <si>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</si>
  <si>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</si>
  <si>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</si>
  <si>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</si>
  <si>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</si>
  <si>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</si>
  <si>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</si>
  <si>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</si>
  <si>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</si>
  <si>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</si>
  <si>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</si>
  <si>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</si>
  <si>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</si>
  <si>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</si>
  <si>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</si>
  <si>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</si>
  <si>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</si>
  <si>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</si>
  <si>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</si>
  <si>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</si>
  <si>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</si>
  <si>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</si>
  <si>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</si>
  <si>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</si>
  <si>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</si>
  <si>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</si>
  <si>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</si>
  <si>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</si>
  <si>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</si>
  <si>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</si>
  <si>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</si>
  <si>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</si>
  <si>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</si>
  <si>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</si>
  <si>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</si>
  <si>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</si>
  <si>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</si>
  <si>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</si>
  <si>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</si>
  <si>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</si>
  <si>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</si>
  <si>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</si>
  <si>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</si>
  <si>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</si>
  <si>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</si>
  <si>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</si>
  <si>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</si>
  <si>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</si>
  <si>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</si>
  <si>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</si>
  <si>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</si>
  <si>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</si>
  <si>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</si>
  <si>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</si>
  <si>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</si>
  <si>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</si>
  <si>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</si>
  <si>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</si>
  <si>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</si>
  <si>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</si>
  <si>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</si>
  <si>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</si>
  <si>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</si>
  <si>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</si>
  <si>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</si>
  <si>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</si>
  <si>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</si>
  <si>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</si>
  <si>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</si>
  <si>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</si>
  <si>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</si>
  <si>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</si>
  <si>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</si>
  <si>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</si>
  <si>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</si>
  <si>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</si>
  <si>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</si>
  <si>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</si>
  <si>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</si>
  <si>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</si>
  <si>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</si>
  <si>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</si>
  <si>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</si>
  <si>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</si>
  <si>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</si>
  <si>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</si>
  <si>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</si>
  <si>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</si>
  <si>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</si>
  <si>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</si>
  <si>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</si>
  <si>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</si>
  <si>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</si>
  <si>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</si>
  <si>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</si>
  <si>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</si>
  <si>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</si>
  <si>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</si>
  <si>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</si>
  <si>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</si>
  <si>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</si>
  <si>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</si>
  <si>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</si>
  <si>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</si>
  <si>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</si>
  <si>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</si>
  <si>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</si>
  <si>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</si>
  <si>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</si>
  <si>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</si>
  <si>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</si>
  <si>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</si>
  <si>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</si>
  <si>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</si>
  <si>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</si>
  <si>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</si>
  <si>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</si>
  <si>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</si>
  <si>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</si>
  <si>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</si>
  <si>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</si>
  <si>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</si>
  <si>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</si>
  <si>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</si>
  <si>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</si>
  <si>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</si>
  <si>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</si>
  <si>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</si>
  <si>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</si>
  <si>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</si>
  <si>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</si>
  <si>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</si>
  <si>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</si>
  <si>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</si>
  <si>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</si>
  <si>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</si>
  <si>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</si>
  <si>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</si>
  <si>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</si>
  <si>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</si>
  <si>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</si>
  <si>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</si>
  <si>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</si>
  <si>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</si>
  <si>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</si>
  <si>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</si>
  <si>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</si>
  <si>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</si>
  <si>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</si>
  <si>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Residential Sources</t>
  </si>
  <si>
    <t>Grant / Loan</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</si>
  <si>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</si>
  <si>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</si>
  <si>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</si>
  <si>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</si>
  <si>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</si>
  <si>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</si>
  <si>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</si>
  <si>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</si>
  <si>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</si>
  <si>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</si>
  <si>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 xml:space="preserve">Project Name: </t>
  </si>
  <si>
    <t>Date:</t>
  </si>
  <si>
    <t>Sources and Amounts of Revenue</t>
  </si>
  <si>
    <t>Quarter 4</t>
  </si>
  <si>
    <t>Quarter 1</t>
  </si>
  <si>
    <t>Quarter 2</t>
  </si>
  <si>
    <t>Quarter 3</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</si>
  <si>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</si>
  <si>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</si>
  <si>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</si>
  <si>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</si>
  <si>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</si>
  <si>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</si>
  <si>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</si>
  <si>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</si>
  <si>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</si>
  <si>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</si>
  <si>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</si>
  <si>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cross-check</t>
  </si>
  <si>
    <t>% of Median 
Income Served</t>
  </si>
  <si>
    <t>Unit Size</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</si>
  <si>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</si>
  <si>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</si>
  <si>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</si>
  <si>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</si>
  <si>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</si>
  <si>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</si>
  <si>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</si>
  <si>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</si>
  <si>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</si>
  <si>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ANNUAL RENT SUBSIDY SOURCES (Do Not Include Operating or Service Funding Sources Here)</t>
  </si>
  <si>
    <t>Proposed 
Funding</t>
  </si>
  <si>
    <t>Committed/ 
Conditional Funding</t>
  </si>
  <si>
    <t>Total 
Funding</t>
  </si>
  <si>
    <t>Length of Commitment</t>
  </si>
  <si>
    <t>Total Annual Rent Subsidy</t>
  </si>
  <si>
    <t>ANNUAL OPERATING SUBSIDY SOURCES (Do Not Include Service or Rent Subsidy Dollars Here)</t>
  </si>
  <si>
    <t>Total Annual Operating Subsidy Sources</t>
  </si>
  <si>
    <t>ANNUAL SERVICE FUNDING SOURCES (Do Not Include Operating or Rent Subsidy Dollars Here)</t>
  </si>
  <si>
    <t>On-Site Staff</t>
  </si>
  <si>
    <t>Staff Title</t>
  </si>
  <si>
    <t>Name of agency that employs this person</t>
  </si>
  <si>
    <t xml:space="preserve">Full-time Annual Salary of an FTE in this position. </t>
  </si>
  <si>
    <t>% of time this person will work on this project</t>
  </si>
  <si>
    <t>Total cost for this person on this project</t>
  </si>
  <si>
    <t>Benefit Rate (%)</t>
  </si>
  <si>
    <t>Benefit Amount</t>
  </si>
  <si>
    <t>Total Project Cost for This  Person</t>
  </si>
  <si>
    <t>Total On-Site Staff Expenses</t>
  </si>
  <si>
    <t>Off-Site Staff</t>
  </si>
  <si>
    <t>Total Off-Site Staff Expenses</t>
  </si>
  <si>
    <t>Total Operating Personnel Expenses</t>
  </si>
  <si>
    <t>Form 8D: Service Expenses</t>
  </si>
  <si>
    <t>Service Personnel Expenses for First Year of Project</t>
  </si>
  <si>
    <t>Staff Title*</t>
  </si>
  <si>
    <t>Total Project Cost for this  person</t>
  </si>
  <si>
    <t>Service Sources</t>
  </si>
  <si>
    <t>Project Cash Flow</t>
  </si>
  <si>
    <t>Total Service Personnel Expenses</t>
  </si>
  <si>
    <t>Non-Personnel Expenses for First Year of Project</t>
  </si>
  <si>
    <t>Client Assistance Costs**</t>
  </si>
  <si>
    <t>Local Travel/Mileage</t>
  </si>
  <si>
    <t>Equipment***</t>
  </si>
  <si>
    <t>Supplies</t>
  </si>
  <si>
    <t>Telecommunications/Computers</t>
  </si>
  <si>
    <t>Printing/Duplication</t>
  </si>
  <si>
    <t>Project Administrative Costs****</t>
  </si>
  <si>
    <t>Total Services:</t>
  </si>
  <si>
    <t>Pro Forma Date</t>
  </si>
  <si>
    <t>REVENUES</t>
  </si>
  <si>
    <t>Year 1</t>
  </si>
  <si>
    <t>Year 2</t>
  </si>
  <si>
    <t>Year 3</t>
  </si>
  <si>
    <t>Year 4</t>
  </si>
  <si>
    <t>Year 5</t>
  </si>
  <si>
    <t>Year 6</t>
  </si>
  <si>
    <t>Year 7</t>
  </si>
  <si>
    <t xml:space="preserve">Residential Income </t>
  </si>
  <si>
    <t>Escalator</t>
  </si>
  <si>
    <t>Annual Gross Tenant Paid Rental Income</t>
  </si>
  <si>
    <t>Other Source:</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</si>
  <si>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</si>
  <si>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</si>
  <si>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</si>
  <si>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</si>
  <si>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</si>
  <si>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</si>
  <si>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</si>
  <si>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</si>
  <si>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</si>
  <si>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EXPENSES </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</si>
  <si>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</si>
  <si>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</si>
  <si>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</si>
  <si>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</si>
  <si>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</si>
  <si>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</si>
  <si>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</si>
  <si>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</si>
  <si>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</si>
  <si>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</si>
  <si>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</si>
  <si>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</si>
  <si>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</si>
  <si>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</si>
  <si>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</si>
  <si>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</si>
  <si>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</si>
  <si>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</si>
  <si>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</si>
  <si>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</si>
  <si>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</si>
  <si>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</si>
  <si>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</si>
  <si>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</si>
  <si>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</si>
  <si>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</si>
  <si>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</si>
  <si>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</si>
  <si>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</si>
  <si>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</si>
  <si>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</si>
  <si>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</si>
  <si>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</si>
  <si>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</si>
  <si>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</si>
  <si>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</si>
  <si>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</si>
  <si>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</si>
  <si>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Gross Cash Flow</t>
  </si>
  <si>
    <t>Soft Debt</t>
  </si>
  <si>
    <t>Total Soft Debt Service</t>
  </si>
  <si>
    <t>Overall Debt Coverage Ratio</t>
  </si>
  <si>
    <t>Net Cash Flow</t>
  </si>
  <si>
    <t>Year 8</t>
  </si>
  <si>
    <t>Year 9</t>
  </si>
  <si>
    <t>Year 10</t>
  </si>
  <si>
    <t>Year 11</t>
  </si>
  <si>
    <t>Year 12</t>
  </si>
  <si>
    <t>Year 13</t>
  </si>
  <si>
    <t>Year 14</t>
  </si>
  <si>
    <t>Year 15</t>
  </si>
  <si>
    <t>Other:</t>
  </si>
  <si>
    <t>Less Residential Vacancy</t>
  </si>
  <si>
    <t xml:space="preserve">Less Non-Residential Vacancy </t>
  </si>
  <si>
    <t>Vacancy Rates and Inflation Factors</t>
  </si>
  <si>
    <t>Please explain how you arrived at the vacancy and inflation factors used in the Operating Pro Forma</t>
  </si>
  <si>
    <t xml:space="preserve">Operating Expense Estimates </t>
  </si>
  <si>
    <t>Heat</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</si>
  <si>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</si>
  <si>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</si>
  <si>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</si>
  <si>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</si>
  <si>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</si>
  <si>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</si>
  <si>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</si>
  <si>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</si>
  <si>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</si>
  <si>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</si>
  <si>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</si>
  <si>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</si>
  <si>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</si>
  <si>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</si>
  <si>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</si>
  <si>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</si>
  <si>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</si>
  <si>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</si>
  <si>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</si>
  <si>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</si>
  <si>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</si>
  <si>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</si>
  <si>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</si>
  <si>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</si>
  <si>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</si>
  <si>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</si>
  <si>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</si>
  <si>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</si>
  <si>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</si>
  <si>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</si>
  <si>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</si>
  <si>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</si>
  <si>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</si>
  <si>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</si>
  <si>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</si>
  <si>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</si>
  <si>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</si>
  <si>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</si>
  <si>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</si>
  <si>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</si>
  <si>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</si>
  <si>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</si>
  <si>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</si>
  <si>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</si>
  <si>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</si>
  <si>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</si>
  <si>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</si>
  <si>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</si>
  <si>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</si>
  <si>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</si>
  <si>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</si>
  <si>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</si>
  <si>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</si>
  <si>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</si>
  <si>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</si>
  <si>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</si>
  <si>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</si>
  <si>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</si>
  <si>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</si>
  <si>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</si>
  <si>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End (projected Placed in Service Date)</t>
  </si>
  <si>
    <t>Development Consultant History</t>
  </si>
  <si>
    <t>Developer Consultant Name:</t>
  </si>
  <si>
    <t xml:space="preserve">Development Consultant Pipeline </t>
  </si>
  <si>
    <t>Management Company:</t>
  </si>
  <si>
    <t xml:space="preserve"> Projects</t>
  </si>
  <si>
    <t>Population Served</t>
  </si>
  <si>
    <t>Effective Date of Mangement Contract</t>
  </si>
  <si>
    <t>Form 11A: 9% LIHTC Scoring Synopsis</t>
  </si>
  <si>
    <t>POINTS
SELECTED</t>
  </si>
  <si>
    <t>The Applicant commits the Project to serve the following combination of Income Set-Asides:</t>
  </si>
  <si>
    <t>Lower Income County:</t>
  </si>
  <si>
    <t>Select Lower Income County</t>
  </si>
  <si>
    <t>Set-Aside Combination:</t>
  </si>
  <si>
    <t>None</t>
  </si>
  <si>
    <t>Higher Income County:</t>
  </si>
  <si>
    <t>Select Higher Income County</t>
  </si>
  <si>
    <t>2 points will be awarded for every year of the Additional Low-Income Housing Use Period up to 22 years.</t>
  </si>
  <si>
    <t>No Points Taken</t>
  </si>
  <si>
    <t>Indicate the Priority Population set-aside(s) below.  If you select Category A, you many not select anything under Category B.</t>
  </si>
  <si>
    <t>Five points will be awarded to projects in King County or Metro Counties that have received a funding commitment from a local or county government.  Please see Policies for minimum funding thresholds by county.</t>
  </si>
  <si>
    <t>Points will be awarded to projects that have leveraged federal resources.</t>
  </si>
  <si>
    <t xml:space="preserve">CAPITAL FUNDS: </t>
  </si>
  <si>
    <t>Source of Funds:</t>
  </si>
  <si>
    <t>Amount of Funds:</t>
  </si>
  <si>
    <t>% of Total Project Cost:</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</si>
  <si>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</si>
  <si>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</si>
  <si>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</si>
  <si>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</si>
  <si>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</si>
  <si>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</si>
  <si>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</si>
  <si>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</si>
  <si>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</si>
  <si>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</si>
  <si>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</si>
  <si>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</si>
  <si>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</si>
  <si>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</si>
  <si>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</si>
  <si>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</si>
  <si>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</si>
  <si>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</si>
  <si>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</si>
  <si>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Points will be awarded to those Projects located on an eligible Indian Reservation or within the service area of an eligible tribe.</t>
  </si>
  <si>
    <t>Eligible Tribe:</t>
  </si>
  <si>
    <t>**Projects claiming these points are not eligible for points under #12-17 below.</t>
  </si>
  <si>
    <t>Two Points will be awarded to those Projects that provide nearby access to food and exceed the minimum Access to Services criterion of ESDS.</t>
  </si>
  <si>
    <t>Select one:</t>
  </si>
  <si>
    <t xml:space="preserve">Project is located in </t>
  </si>
  <si>
    <t>Select location</t>
  </si>
  <si>
    <t>One Point will be awarded to Projects in or near the top 50 Metro or Non-Metro job growth places.</t>
  </si>
  <si>
    <t>Project is located</t>
  </si>
  <si>
    <t>Select Location</t>
  </si>
  <si>
    <t>Select Job Growth Place</t>
  </si>
  <si>
    <t>Five points will be awarded to those Projects that qualify under one of the three scenarios below.  Indicate Nonprofit involvement below:</t>
  </si>
  <si>
    <t>Five points will be awarded to Projects whose Owners agree to contribute to a local Nonprofit Organization an amount equal to the greater of 25 basis points (0.25%) of Total Project Costs; or $10,000.</t>
  </si>
  <si>
    <t>Two points will be awarded to Projects that have a preapproved plan for eventual tenant ownership after the initial 15-year Compliance Period.</t>
  </si>
  <si>
    <t>TOTAL POINTS SELECTED BY APPLICANT</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</si>
  <si>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</si>
  <si>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</si>
  <si>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</si>
  <si>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</si>
  <si>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</si>
  <si>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</si>
  <si>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</si>
  <si>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</si>
  <si>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</si>
  <si>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</si>
  <si>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</si>
  <si>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</si>
  <si>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</si>
  <si>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</si>
  <si>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</si>
  <si>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</si>
  <si>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</si>
  <si>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</si>
  <si>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</si>
  <si>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</si>
  <si>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</si>
  <si>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</si>
  <si>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</si>
  <si>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Three points will be awarded to Projects meeting the definition of Rehabilitation Project.</t>
  </si>
  <si>
    <t>Five points will be awarded to Projects meeting the definition of At-Risk Property.</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</si>
  <si>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</si>
  <si>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</si>
  <si>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</si>
  <si>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</si>
  <si>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</si>
  <si>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Five points will be awarded to Projects whose Owners agree to contribute funds to a local Nonprofit Organization an amount equal to the greater of 20 basis points (0.20%) of the total bond issue; or $10,000.</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</si>
  <si>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</si>
  <si>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</si>
  <si>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</si>
  <si>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</si>
  <si>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</si>
  <si>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</si>
  <si>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</si>
  <si>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</si>
  <si>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</si>
  <si>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</si>
  <si>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</si>
  <si>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</si>
  <si>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</si>
  <si>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</si>
  <si>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</si>
  <si>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</si>
  <si>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</si>
  <si>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</si>
  <si>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r>
      <t xml:space="preserve">Divided by Tax Credit Factor </t>
    </r>
    <r>
      <rPr>
        <sz val="8"/>
        <rFont val="Calibri"/>
        <family val="2"/>
        <scheme val="minor"/>
      </rPr>
      <t>(</t>
    </r>
    <r>
      <rPr>
        <i/>
        <sz val="8"/>
        <rFont val="Calibri"/>
        <family val="2"/>
        <scheme val="minor"/>
      </rPr>
      <t>ESTIMATED 2015 minimum for King County = $0.92, non-King County = $0.85)</t>
    </r>
  </si>
  <si>
    <t>Non Residential Sources</t>
  </si>
  <si>
    <t>Repayment Structure</t>
  </si>
  <si>
    <t xml:space="preserve">Repayment Structure
</t>
  </si>
  <si>
    <t>Loan 
Term</t>
  </si>
  <si>
    <t>Notes</t>
  </si>
  <si>
    <t>#Units /
 Beds</t>
  </si>
  <si>
    <t xml:space="preserve">Market Rate 
Units </t>
  </si>
  <si>
    <t>Total Annual Operating Subsidy</t>
  </si>
  <si>
    <t>Total Annual Services Funding</t>
  </si>
  <si>
    <t>Other (identify and include cost estimate for each)</t>
  </si>
  <si>
    <t># Units</t>
  </si>
  <si>
    <t>End Date</t>
  </si>
  <si>
    <t>Type of Financing</t>
  </si>
  <si>
    <t>Projected PIS Date</t>
  </si>
  <si>
    <t>Additional Low-Income Housing Setasides</t>
  </si>
  <si>
    <t>Additional Low-Income Housing Use Period</t>
  </si>
  <si>
    <t>Housing Commitments for Priority Populations</t>
  </si>
  <si>
    <t>Local Funding Commitment</t>
  </si>
  <si>
    <t>Federal Leverage</t>
  </si>
  <si>
    <t>State Funding Coordination</t>
  </si>
  <si>
    <t>Project-Based Rental Assistance (PBRA)</t>
  </si>
  <si>
    <t>Developer Fees</t>
  </si>
  <si>
    <t>At Risk of Market Conversion</t>
  </si>
  <si>
    <t>Historic Property</t>
  </si>
  <si>
    <r>
      <t xml:space="preserve">Five points will be awarded to </t>
    </r>
    <r>
      <rPr>
        <u/>
        <sz val="10"/>
        <rFont val="Calibri"/>
        <family val="2"/>
        <scheme val="minor"/>
      </rPr>
      <t>New Production</t>
    </r>
    <r>
      <rPr>
        <sz val="10"/>
        <rFont val="Calibri"/>
        <family val="2"/>
        <scheme val="minor"/>
      </rPr>
      <t xml:space="preserve"> Projects meeting the definition of an Historic Property </t>
    </r>
    <r>
      <rPr>
        <u/>
        <sz val="10"/>
        <rFont val="Calibri"/>
        <family val="2"/>
        <scheme val="minor"/>
      </rPr>
      <t>and</t>
    </r>
    <r>
      <rPr>
        <sz val="10"/>
        <rFont val="Calibri"/>
        <family val="2"/>
        <scheme val="minor"/>
      </rPr>
      <t xml:space="preserve"> using the federal Historic Tax Credit in their financing.</t>
    </r>
  </si>
  <si>
    <t>Eligible Tribal Area</t>
  </si>
  <si>
    <t>Area Targeted By a Local Jurisdiction</t>
  </si>
  <si>
    <r>
      <t xml:space="preserve">Two Points will be awared to Projects  in </t>
    </r>
    <r>
      <rPr>
        <u/>
        <sz val="10"/>
        <rFont val="Calibri"/>
        <family val="2"/>
        <scheme val="minor"/>
      </rPr>
      <t>King County or Metro Counties</t>
    </r>
    <r>
      <rPr>
        <sz val="10"/>
        <rFont val="Calibri"/>
        <family val="2"/>
        <scheme val="minor"/>
      </rPr>
      <t xml:space="preserve"> that are located in a specific geographic area that is targeted by the local jurisdiction for affordable housing.</t>
    </r>
  </si>
  <si>
    <t>Community Revitalization Plan</t>
  </si>
  <si>
    <r>
      <t xml:space="preserve">One Point will be awarded to Projects  in </t>
    </r>
    <r>
      <rPr>
        <u/>
        <sz val="10"/>
        <rFont val="Calibri"/>
        <family val="2"/>
        <scheme val="minor"/>
      </rPr>
      <t>King County or Metro Counties</t>
    </r>
    <r>
      <rPr>
        <sz val="10"/>
        <rFont val="Calibri"/>
        <family val="2"/>
        <scheme val="minor"/>
      </rPr>
      <t xml:space="preserve"> that contribute to a preapproved Community Revitalization Plan.</t>
    </r>
  </si>
  <si>
    <t>Transit-Oriented Development (TOD)</t>
  </si>
  <si>
    <r>
      <t xml:space="preserve">One Point will be awarded to Projects  in </t>
    </r>
    <r>
      <rPr>
        <u/>
        <sz val="10"/>
        <rFont val="Calibri"/>
        <family val="2"/>
        <scheme val="minor"/>
      </rPr>
      <t>King County</t>
    </r>
    <r>
      <rPr>
        <sz val="10"/>
        <rFont val="Calibri"/>
        <family val="2"/>
        <scheme val="minor"/>
      </rPr>
      <t xml:space="preserve"> that are located within the 10-minute walkshed of a Transit Oriented Development.</t>
    </r>
  </si>
  <si>
    <t>High and Very High Opportunity Areas</t>
  </si>
  <si>
    <r>
      <t xml:space="preserve">One Point will be awarded to Projects  in </t>
    </r>
    <r>
      <rPr>
        <u/>
        <sz val="10"/>
        <rFont val="Calibri"/>
        <family val="2"/>
        <scheme val="minor"/>
      </rPr>
      <t>King County</t>
    </r>
    <r>
      <rPr>
        <sz val="10"/>
        <rFont val="Calibri"/>
        <family val="2"/>
        <scheme val="minor"/>
      </rPr>
      <t xml:space="preserve"> that are located in a census tract determined to be a High or Very High Opportunity Area.</t>
    </r>
  </si>
  <si>
    <t>Job Centers</t>
  </si>
  <si>
    <t>Nonprofit Sponsor</t>
  </si>
  <si>
    <t>Donation in Support of Local Housing Needs</t>
  </si>
  <si>
    <t>Eventual Tenant Ownership</t>
  </si>
  <si>
    <t>• Elderly Housing Project: RD Section 515 program or a HUD elderly program - 10 Points</t>
  </si>
  <si>
    <t>King County, has not selected #4 and is not eligible for these points.</t>
  </si>
  <si>
    <t>• 22 years - 44 points</t>
  </si>
  <si>
    <t>75% of Total Housing Units as Supportive Housing for the Homeless - 35 Points</t>
  </si>
  <si>
    <r>
      <rPr>
        <i/>
        <sz val="10"/>
        <rFont val="Calibri"/>
        <family val="2"/>
        <scheme val="minor"/>
      </rPr>
      <t>Category A</t>
    </r>
    <r>
      <rPr>
        <sz val="10"/>
        <rFont val="Calibri"/>
        <family val="2"/>
        <scheme val="minor"/>
      </rPr>
      <t>.  75% Supportive Housing for the Homeless (35 points)</t>
    </r>
  </si>
  <si>
    <r>
      <rPr>
        <i/>
        <sz val="10"/>
        <rFont val="Calibri"/>
        <family val="2"/>
        <scheme val="minor"/>
      </rPr>
      <t>Category B</t>
    </r>
    <r>
      <rPr>
        <sz val="10"/>
        <rFont val="Calibri"/>
        <family val="2"/>
        <scheme val="minor"/>
      </rPr>
      <t>.  Housing Commitments for other Priority Populations (Up to Two - 10 points each)</t>
    </r>
  </si>
  <si>
    <t>Expiring Federal Use Restriction</t>
  </si>
  <si>
    <t>Location-Efficient Projects</t>
  </si>
  <si>
    <r>
      <rPr>
        <i/>
        <sz val="10"/>
        <rFont val="Calibri"/>
        <family val="2"/>
        <scheme val="minor"/>
      </rPr>
      <t>Category A</t>
    </r>
    <r>
      <rPr>
        <sz val="10"/>
        <rFont val="Calibri"/>
        <family val="2"/>
        <scheme val="minor"/>
      </rPr>
      <t>.  10% Large Households and/or 10% Persons with Disabilities (5 points each)</t>
    </r>
  </si>
  <si>
    <r>
      <rPr>
        <i/>
        <sz val="10"/>
        <rFont val="Calibri"/>
        <family val="2"/>
        <scheme val="minor"/>
      </rPr>
      <t>Category B</t>
    </r>
    <r>
      <rPr>
        <sz val="10"/>
        <rFont val="Calibri"/>
        <family val="2"/>
        <scheme val="minor"/>
      </rPr>
      <t>.  20% Large Households and/or 20% Persons with Disabilities (10 points each)</t>
    </r>
  </si>
  <si>
    <t>Additional Low-Income Housing Set-Asides</t>
  </si>
  <si>
    <r>
      <rPr>
        <i/>
        <sz val="10"/>
        <color indexed="8"/>
        <rFont val="Calibri"/>
        <family val="2"/>
        <scheme val="minor"/>
      </rPr>
      <t>Category C</t>
    </r>
    <r>
      <rPr>
        <b/>
        <sz val="10"/>
        <color indexed="8"/>
        <rFont val="Calibri"/>
        <family val="2"/>
        <scheme val="minor"/>
      </rPr>
      <t>.</t>
    </r>
    <r>
      <rPr>
        <sz val="10"/>
        <color indexed="8"/>
        <rFont val="Calibri"/>
        <family val="2"/>
        <scheme val="minor"/>
      </rPr>
      <t xml:space="preserve">  100% Seniors with Some Services (10 points)</t>
    </r>
  </si>
  <si>
    <t>Total Project Cost (Form 6D, Cell R116):</t>
  </si>
  <si>
    <t>Leveraging of Public Resources</t>
  </si>
  <si>
    <t>Leveraging of Taxable Bonds</t>
  </si>
  <si>
    <t>Rehabilitation Project</t>
  </si>
  <si>
    <t>At-Risk Property</t>
  </si>
  <si>
    <t>Property Type</t>
  </si>
  <si>
    <t>Area Targeted by a Local Jurisdiction</t>
  </si>
  <si>
    <t>Donation in Support of Nonprofit Programs</t>
  </si>
  <si>
    <t>Development Amenities</t>
  </si>
  <si>
    <t>General</t>
  </si>
  <si>
    <t>Individuals</t>
  </si>
  <si>
    <t>Households with Children</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</si>
  <si>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</si>
  <si>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</si>
  <si>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</si>
  <si>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</si>
  <si>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</si>
  <si>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</si>
  <si>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</si>
  <si>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</si>
  <si>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</si>
  <si>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</si>
  <si>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</si>
  <si>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</si>
  <si>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</si>
  <si>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</si>
  <si>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Lower 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</si>
  <si>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</si>
  <si>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</si>
  <si>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</si>
  <si>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</si>
  <si>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</si>
  <si>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</si>
  <si>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of Units</t>
  </si>
  <si>
    <t>Inc_percent</t>
  </si>
  <si>
    <t>Years</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</si>
  <si>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</si>
  <si>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</si>
  <si>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</si>
  <si>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</si>
  <si>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</si>
  <si>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</si>
  <si>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</si>
  <si>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</si>
  <si>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</si>
  <si>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</si>
  <si>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</si>
  <si>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</si>
  <si>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</si>
  <si>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</si>
  <si>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</si>
  <si>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</si>
  <si>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</si>
  <si>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</si>
  <si>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</si>
  <si>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</si>
  <si>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</si>
  <si>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</si>
  <si>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</si>
  <si>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t xml:space="preserve">Option 1: </t>
    </r>
    <r>
      <rPr>
        <sz val="11"/>
        <color rgb="FF000000"/>
        <rFont val="Calibri"/>
        <family val="2"/>
        <scheme val="minor"/>
      </rPr>
      <t>10% for Large Households - 5 Points</t>
    </r>
  </si>
  <si>
    <r>
      <t xml:space="preserve">Option 2: </t>
    </r>
    <r>
      <rPr>
        <sz val="11"/>
        <color rgb="FF000000"/>
        <rFont val="Calibri"/>
        <family val="2"/>
        <scheme val="minor"/>
      </rPr>
      <t>10% for Persons with Disabilities - 5 Points</t>
    </r>
  </si>
  <si>
    <r>
      <t xml:space="preserve">Option 3: </t>
    </r>
    <r>
      <rPr>
        <sz val="11"/>
        <color rgb="FF000000"/>
        <rFont val="Calibri"/>
        <family val="2"/>
        <scheme val="minor"/>
      </rPr>
      <t>10% for Large Households, 10% for Persons with Disabilities - 10 Points</t>
    </r>
  </si>
  <si>
    <t>PriorityPopulations20</t>
  </si>
  <si>
    <r>
      <t xml:space="preserve">Option 1: </t>
    </r>
    <r>
      <rPr>
        <sz val="11"/>
        <color rgb="FF000000"/>
        <rFont val="Calibri"/>
        <family val="2"/>
        <scheme val="minor"/>
      </rPr>
      <t>20% for Large Households - 10 Points</t>
    </r>
  </si>
  <si>
    <r>
      <t>Option 2:</t>
    </r>
    <r>
      <rPr>
        <sz val="11"/>
        <color rgb="FF000000"/>
        <rFont val="Calibri"/>
        <family val="2"/>
        <scheme val="minor"/>
      </rPr>
      <t xml:space="preserve"> 20% for Persons with Disabilities- 10 Points</t>
    </r>
  </si>
  <si>
    <r>
      <t xml:space="preserve">Option 3: </t>
    </r>
    <r>
      <rPr>
        <sz val="11"/>
        <color rgb="FF000000"/>
        <rFont val="Calibri"/>
        <family val="2"/>
        <scheme val="minor"/>
      </rPr>
      <t>20% for Large Households, 20% for Persons with Disabilities - 20 Points</t>
    </r>
  </si>
  <si>
    <t>SeniorHousing10</t>
  </si>
  <si>
    <t>senior_housing_10</t>
  </si>
  <si>
    <t>Option 1: 100%  for Seniors with some services - 10 Points</t>
  </si>
  <si>
    <t>Project-Based Rental Assistance</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</si>
  <si>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</si>
  <si>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</si>
  <si>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</si>
  <si>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</si>
  <si>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</si>
  <si>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</si>
  <si>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</si>
  <si>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</si>
  <si>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</si>
  <si>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</si>
  <si>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</si>
  <si>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</si>
  <si>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</si>
  <si>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</si>
  <si>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</si>
  <si>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</si>
  <si>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</si>
  <si>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</si>
  <si>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</si>
  <si>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DevFees</t>
  </si>
  <si>
    <t>PropertyType10</t>
  </si>
  <si>
    <t>property_type_10</t>
  </si>
  <si>
    <r>
      <t>Option 1:</t>
    </r>
    <r>
      <rPr>
        <sz val="11"/>
        <color theme="1"/>
        <rFont val="Calibri"/>
        <family val="2"/>
        <scheme val="minor"/>
      </rPr>
      <t xml:space="preserve"> Grayfield Site - 3 points</t>
    </r>
  </si>
  <si>
    <r>
      <t xml:space="preserve">Option 2: </t>
    </r>
    <r>
      <rPr>
        <sz val="11"/>
        <color theme="1"/>
        <rFont val="Calibri"/>
        <family val="2"/>
        <scheme val="minor"/>
      </rPr>
      <t>Adaptive Reuse Site - 3 points</t>
    </r>
  </si>
  <si>
    <r>
      <t>Option 3:</t>
    </r>
    <r>
      <rPr>
        <sz val="11"/>
        <color theme="1"/>
        <rFont val="Calibri"/>
        <family val="2"/>
        <scheme val="minor"/>
      </rPr>
      <t xml:space="preserve"> Historic Property being financed by the federal Historic Tax Credit (RTC) - 3 points</t>
    </r>
  </si>
  <si>
    <r>
      <t>Option 4:</t>
    </r>
    <r>
      <rPr>
        <sz val="11"/>
        <color theme="1"/>
        <rFont val="Calibri"/>
        <family val="2"/>
        <scheme val="minor"/>
      </rPr>
      <t xml:space="preserve"> Brownfield site - 10 points</t>
    </r>
  </si>
  <si>
    <t>Location Efficient Projects</t>
  </si>
  <si>
    <t>Location_eff</t>
  </si>
  <si>
    <t>NP Sponsor</t>
  </si>
  <si>
    <t>Nonprofit Only - 2 Points</t>
  </si>
  <si>
    <t>For Profit / Nonprofit Partnership - 2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</si>
  <si>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</si>
  <si>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</si>
  <si>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</si>
  <si>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</si>
  <si>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</si>
  <si>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</si>
  <si>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</si>
  <si>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</si>
  <si>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</si>
  <si>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</si>
  <si>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</si>
  <si>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</si>
  <si>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</si>
  <si>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</si>
  <si>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</si>
  <si>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</si>
  <si>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</si>
  <si>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</si>
  <si>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</si>
  <si>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</si>
  <si>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</si>
  <si>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</si>
  <si>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</si>
  <si>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</si>
  <si>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</si>
  <si>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</si>
  <si>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</si>
  <si>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</si>
  <si>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</si>
  <si>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</si>
  <si>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</si>
  <si>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</si>
  <si>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</si>
  <si>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</si>
  <si>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</si>
  <si>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</si>
  <si>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</si>
  <si>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</si>
  <si>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</si>
  <si>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</si>
  <si>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</si>
  <si>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</si>
  <si>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</si>
  <si>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</si>
  <si>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</si>
  <si>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</si>
  <si>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</si>
  <si>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</si>
  <si>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</si>
  <si>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</si>
  <si>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</si>
  <si>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</si>
  <si>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</si>
  <si>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</si>
  <si>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</si>
  <si>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</si>
  <si>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</si>
  <si>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</si>
  <si>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</si>
  <si>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</si>
  <si>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</si>
  <si>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</si>
  <si>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</si>
  <si>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</si>
  <si>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</si>
  <si>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</si>
  <si>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</si>
  <si>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</si>
  <si>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</si>
  <si>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</si>
  <si>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</si>
  <si>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</si>
  <si>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</si>
  <si>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</si>
  <si>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</si>
  <si>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</si>
  <si>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</si>
  <si>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</si>
  <si>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</si>
  <si>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</si>
  <si>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</si>
  <si>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</si>
  <si>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</si>
  <si>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</si>
  <si>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</si>
  <si>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</si>
  <si>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</si>
  <si>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</si>
  <si>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</si>
  <si>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</si>
  <si>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</si>
  <si>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</si>
  <si>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</si>
  <si>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</si>
  <si>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</si>
  <si>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</si>
  <si>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</si>
  <si>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</si>
  <si>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</si>
  <si>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</si>
  <si>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</si>
  <si>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</si>
  <si>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</si>
  <si>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</si>
  <si>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</si>
  <si>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</si>
  <si>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</si>
  <si>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</si>
  <si>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</si>
  <si>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</si>
  <si>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Homeless75</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</si>
  <si>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</si>
  <si>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</si>
  <si>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</si>
  <si>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</si>
  <si>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</si>
  <si>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</si>
  <si>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</si>
  <si>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</si>
  <si>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</si>
  <si>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</si>
  <si>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</si>
  <si>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</si>
  <si>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</si>
  <si>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</si>
  <si>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</si>
  <si>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</si>
  <si>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</si>
  <si>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</si>
  <si>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</si>
  <si>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</si>
  <si>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</si>
  <si>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</si>
  <si>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</si>
  <si>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</si>
  <si>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</si>
  <si>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</si>
  <si>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</si>
  <si>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</si>
  <si>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</si>
  <si>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</si>
  <si>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</si>
  <si>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</si>
  <si>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</si>
  <si>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</si>
  <si>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</si>
  <si>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</si>
  <si>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</si>
  <si>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</si>
  <si>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</si>
  <si>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</si>
  <si>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</si>
  <si>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</si>
  <si>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</si>
  <si>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</si>
  <si>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</si>
  <si>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</si>
  <si>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</si>
  <si>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PBRA_units</t>
  </si>
  <si>
    <t>0 points</t>
  </si>
  <si>
    <t>30-49 units = 2 points</t>
  </si>
  <si>
    <t>50-79 units = 3 points</t>
  </si>
  <si>
    <t>80 units or more = 4 points</t>
  </si>
  <si>
    <t>10% - 10 Points</t>
  </si>
  <si>
    <t>11% - 8 Points</t>
  </si>
  <si>
    <t>12% - 6 Points</t>
  </si>
  <si>
    <t>13% - 4 Points</t>
  </si>
  <si>
    <t>14% - 2 Points</t>
  </si>
  <si>
    <t>Historic</t>
  </si>
  <si>
    <t>Not a Historic property</t>
  </si>
  <si>
    <t>Listed, or determined eligible for listing, in the National Register of Historic Places</t>
  </si>
  <si>
    <t xml:space="preserve">Located in a registered Historic District </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</si>
  <si>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</si>
  <si>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</si>
  <si>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</si>
  <si>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</si>
  <si>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</si>
  <si>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</si>
  <si>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</si>
  <si>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</si>
  <si>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</si>
  <si>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</si>
  <si>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</si>
  <si>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</si>
  <si>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</si>
  <si>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</si>
  <si>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</si>
  <si>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</si>
  <si>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</si>
  <si>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</si>
  <si>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</si>
  <si>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</si>
  <si>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</si>
  <si>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</si>
  <si>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</si>
  <si>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</si>
  <si>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</si>
  <si>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</si>
  <si>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</si>
  <si>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</si>
  <si>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</si>
  <si>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</si>
  <si>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</si>
  <si>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</si>
  <si>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</si>
  <si>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</si>
  <si>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</si>
  <si>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</si>
  <si>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</si>
  <si>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</si>
  <si>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</si>
  <si>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</si>
  <si>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</si>
  <si>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</si>
  <si>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</si>
  <si>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</si>
  <si>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</si>
  <si>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</si>
  <si>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</si>
  <si>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</si>
  <si>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</si>
  <si>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</si>
  <si>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</si>
  <si>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</si>
  <si>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</si>
  <si>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</si>
  <si>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</si>
  <si>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</si>
  <si>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</si>
  <si>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</si>
  <si>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</si>
  <si>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</si>
  <si>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</si>
  <si>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</si>
  <si>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</si>
  <si>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</si>
  <si>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</si>
  <si>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</si>
  <si>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</si>
  <si>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</si>
  <si>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</si>
  <si>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</si>
  <si>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</si>
  <si>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</si>
  <si>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</si>
  <si>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</si>
  <si>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</si>
  <si>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</si>
  <si>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</si>
  <si>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</si>
  <si>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Nonprofit Only</t>
  </si>
  <si>
    <t>For Profit Nonprofit Partnership</t>
  </si>
  <si>
    <t>Nonprofit Sponsor Waiver</t>
  </si>
  <si>
    <t>TDC_Limit</t>
  </si>
  <si>
    <t>King-Pierce-Snohomish County TDC Limits</t>
  </si>
  <si>
    <t>Balance of State TDC Limits</t>
  </si>
  <si>
    <t>NP_Sponsor</t>
  </si>
  <si>
    <t>Incomes_4_Perc</t>
  </si>
  <si>
    <t>Years_4_Perc</t>
  </si>
  <si>
    <t>NP_Sponsor_4_Perc</t>
  </si>
  <si>
    <r>
      <t>Total Residential Project Cost</t>
    </r>
    <r>
      <rPr>
        <sz val="9"/>
        <color indexed="8"/>
        <rFont val="Calibri"/>
        <family val="2"/>
        <scheme val="minor"/>
      </rPr>
      <t xml:space="preserve"> (Form 6A)</t>
    </r>
    <r>
      <rPr>
        <sz val="11"/>
        <color indexed="8"/>
        <rFont val="Calibri"/>
        <family val="2"/>
        <scheme val="minor"/>
      </rPr>
      <t>:</t>
    </r>
  </si>
  <si>
    <t>LIH_commit</t>
  </si>
  <si>
    <t>Avg Unit Square Footage</t>
  </si>
  <si>
    <t>Form 7B: Estimate of Cash Flow During Development (Page 2)</t>
  </si>
  <si>
    <t>Form 8E: Operating Pro Forma (Page 2)</t>
  </si>
  <si>
    <t>Form 9A: Project Team (Page 2)</t>
  </si>
  <si>
    <t>Form 11A: 9% LIHTC Scoring Synopsis (Page 2)</t>
  </si>
  <si>
    <t>Form 11A: 9% LIHTC Scoring Synopsis (Page 3)</t>
  </si>
  <si>
    <t>Form 11B: 4%/ Bond LIHTC Scoring Synopsis (Page 2)</t>
  </si>
  <si>
    <t>Form 11B: 4%/ Bond LIHTC Scoring Synopsis (Page 3)</t>
  </si>
  <si>
    <t>Wastewater</t>
  </si>
  <si>
    <t>Water District</t>
  </si>
  <si>
    <t>No Rent Subsidy</t>
  </si>
  <si>
    <t xml:space="preserve">Overall Checklist Total </t>
  </si>
  <si>
    <t>Section 8</t>
  </si>
  <si>
    <t>Section 7</t>
  </si>
  <si>
    <t>Section 6</t>
  </si>
  <si>
    <t>Section 5</t>
  </si>
  <si>
    <t>Section 4</t>
  </si>
  <si>
    <t>Section 3</t>
  </si>
  <si>
    <t>Section 2</t>
  </si>
  <si>
    <t>Section 1</t>
  </si>
  <si>
    <t>Section 8 SUBTOTAL</t>
  </si>
  <si>
    <t>Educational Signage</t>
  </si>
  <si>
    <t>8.5</t>
  </si>
  <si>
    <t>Project Data Collection</t>
  </si>
  <si>
    <t>8.4</t>
  </si>
  <si>
    <t>Mandatory</t>
  </si>
  <si>
    <t>Resident &amp; Property Manager Orientation</t>
  </si>
  <si>
    <t>8.3</t>
  </si>
  <si>
    <t>Resident Manual</t>
  </si>
  <si>
    <t>8.2</t>
  </si>
  <si>
    <t>Building Maintenance Manual</t>
  </si>
  <si>
    <t>8.1</t>
  </si>
  <si>
    <t>Points</t>
  </si>
  <si>
    <t>Requirement Type/Optional Points</t>
  </si>
  <si>
    <t>Design Element: Operations &amp; Maintenance</t>
  </si>
  <si>
    <t>Section 7 SUBTOTAL</t>
  </si>
  <si>
    <t>Smoke-Free Bulding</t>
  </si>
  <si>
    <t>Lead-Safe Work Practices</t>
  </si>
  <si>
    <t>Integrated Pest Management</t>
  </si>
  <si>
    <t>Garage Isolation</t>
  </si>
  <si>
    <t>Enhanced Building Envelope Design</t>
  </si>
  <si>
    <t>Water Drainage</t>
  </si>
  <si>
    <t>Radon Mitigation</t>
  </si>
  <si>
    <t>Vapor Barrier Strategies</t>
  </si>
  <si>
    <t>7.10</t>
  </si>
  <si>
    <t>Mold Prevention: Tub &amp; Shower Enclosures</t>
  </si>
  <si>
    <t>7.9c</t>
  </si>
  <si>
    <t>Mold Prevention: Surfaces</t>
  </si>
  <si>
    <t>7.9b</t>
  </si>
  <si>
    <t>7.9a</t>
  </si>
  <si>
    <t>Cold Water &amp; Hot Water Pipe Insulation</t>
  </si>
  <si>
    <t>Combustion Equipment</t>
  </si>
  <si>
    <t>Clothes Dryer Exhaust</t>
  </si>
  <si>
    <t>Ventilation</t>
  </si>
  <si>
    <t>7.4a</t>
  </si>
  <si>
    <t>7.3a</t>
  </si>
  <si>
    <t>Healthy Flooring Materials</t>
  </si>
  <si>
    <t>7.2b</t>
  </si>
  <si>
    <t>Mandatory if providing floor coverings</t>
  </si>
  <si>
    <t>7.2a</t>
  </si>
  <si>
    <t>Composite Wood Products that Contain No Added Urea Formaldehyde</t>
  </si>
  <si>
    <t>7.1</t>
  </si>
  <si>
    <t>Design Element: Healthy Living Environment</t>
  </si>
  <si>
    <t>Section 6 SUBTOTAL</t>
  </si>
  <si>
    <t>Socially Sustainable Products</t>
  </si>
  <si>
    <t>6.8</t>
  </si>
  <si>
    <t>Reduced Heat-Island Effect: Paving</t>
  </si>
  <si>
    <t>6.7b</t>
  </si>
  <si>
    <t>Reduced Heat-Island Effect: Roofing</t>
  </si>
  <si>
    <t>6.7a</t>
  </si>
  <si>
    <t>Water-Permeable Parking Areas</t>
  </si>
  <si>
    <t>6.6</t>
  </si>
  <si>
    <t>Water-Permeable Walkways</t>
  </si>
  <si>
    <t>6.5</t>
  </si>
  <si>
    <t>Environmentally Preferable Materials</t>
  </si>
  <si>
    <t>6.4</t>
  </si>
  <si>
    <t>Construction Waste Management</t>
  </si>
  <si>
    <t>6.3</t>
  </si>
  <si>
    <t>Low/No VOC Adhesives &amp; Sealants</t>
  </si>
  <si>
    <t>6.2</t>
  </si>
  <si>
    <t>Low/No VOC Paints &amp; Primers</t>
  </si>
  <si>
    <t>6.1</t>
  </si>
  <si>
    <t>Design Element: Materials Beneficial to the Environment</t>
  </si>
  <si>
    <t>Section 5 SUBTOTAL</t>
  </si>
  <si>
    <t>5.10</t>
  </si>
  <si>
    <t>Domestic Water Heating</t>
  </si>
  <si>
    <t>5.9</t>
  </si>
  <si>
    <t>5.8c</t>
  </si>
  <si>
    <t>Photovoltaic/Solar Hot Water Ready</t>
  </si>
  <si>
    <t>5.8b</t>
  </si>
  <si>
    <t>5.8a</t>
  </si>
  <si>
    <t>5.7a</t>
  </si>
  <si>
    <t>Efficient Lighting</t>
  </si>
  <si>
    <t>5.6</t>
  </si>
  <si>
    <t>Central Laundry</t>
  </si>
  <si>
    <t>5.5</t>
  </si>
  <si>
    <t>Mandatory if providing appliances</t>
  </si>
  <si>
    <t>EnergyStar Applicances</t>
  </si>
  <si>
    <t>5.4</t>
  </si>
  <si>
    <t>Sizing of Heating &amp; Cooling Equipment</t>
  </si>
  <si>
    <t>5.3</t>
  </si>
  <si>
    <t>5.2a</t>
  </si>
  <si>
    <t>5.1a</t>
  </si>
  <si>
    <t>Design Element: Energy Efficiency</t>
  </si>
  <si>
    <t>Section 4 SUBTOTAL</t>
  </si>
  <si>
    <t>Water Reuse</t>
  </si>
  <si>
    <t>4.3</t>
  </si>
  <si>
    <t>4.2</t>
  </si>
  <si>
    <t>4.1</t>
  </si>
  <si>
    <t>Design Element: Water Conservation</t>
  </si>
  <si>
    <t>Section 3 SUBTOTAL</t>
  </si>
  <si>
    <t>Storm Drain Labels</t>
  </si>
  <si>
    <t>3.6</t>
  </si>
  <si>
    <t>Surface Water Management</t>
  </si>
  <si>
    <t>3.5</t>
  </si>
  <si>
    <t>Mandatory if irrigation is utilized</t>
  </si>
  <si>
    <t>Efficient Irrigation</t>
  </si>
  <si>
    <t>3.4</t>
  </si>
  <si>
    <t>Landscaping-Significant Trees</t>
  </si>
  <si>
    <t>3.3c</t>
  </si>
  <si>
    <t>3.3b</t>
  </si>
  <si>
    <t>Mandatory if providing Landscaping</t>
  </si>
  <si>
    <t>3.3a</t>
  </si>
  <si>
    <t>Erosion &amp; Sedimentation Control</t>
  </si>
  <si>
    <t>3.2</t>
  </si>
  <si>
    <t>Environmental Remediation</t>
  </si>
  <si>
    <t>3.1</t>
  </si>
  <si>
    <t>Design Element: Site Improvements</t>
  </si>
  <si>
    <t>Section 2 SUBTOTAL</t>
  </si>
  <si>
    <t>Access to Fresh, Local Foods</t>
  </si>
  <si>
    <t>2.10</t>
  </si>
  <si>
    <t>Brownfield or Adaptive Reuse Site</t>
  </si>
  <si>
    <t>Smart Site Location: Passive Design</t>
  </si>
  <si>
    <t>Walkable Neighborhoods- Connections to Surrounding Neighborhood</t>
  </si>
  <si>
    <t>2.7b</t>
  </si>
  <si>
    <t>Preservation of &amp; Access to Open Space</t>
  </si>
  <si>
    <t>Access to Services &amp; Public Transportation</t>
  </si>
  <si>
    <t>Maximizing Density</t>
  </si>
  <si>
    <t>Compact Development</t>
  </si>
  <si>
    <t>Connections to Existing Development &amp; Infrastructure</t>
  </si>
  <si>
    <t>Sensitive Site Protection</t>
  </si>
  <si>
    <t>Design Element: Location &amp; Neighborhood Fabric</t>
  </si>
  <si>
    <t>Section 1 SUBTOTAL</t>
  </si>
  <si>
    <t>Universal Design</t>
  </si>
  <si>
    <t>Green Development Plan</t>
  </si>
  <si>
    <t>Design Element: Integrative Design</t>
  </si>
  <si>
    <t>5.1b</t>
  </si>
  <si>
    <t>5.2b</t>
  </si>
  <si>
    <t>5.7b</t>
  </si>
  <si>
    <t>7.3b</t>
  </si>
  <si>
    <t>7.4b</t>
  </si>
  <si>
    <t>Building Performance Standard - New Construction</t>
  </si>
  <si>
    <t>Walkable Neighborhoods- Sidewalks &amp; Pathways</t>
  </si>
  <si>
    <t>2.7a</t>
  </si>
  <si>
    <r>
      <t xml:space="preserve">Advanced Water-Conserving </t>
    </r>
    <r>
      <rPr>
        <sz val="11"/>
        <rFont val="Calibri"/>
        <family val="2"/>
        <scheme val="minor"/>
      </rPr>
      <t>Fixtures</t>
    </r>
  </si>
  <si>
    <r>
      <t xml:space="preserve">Water-Conserving </t>
    </r>
    <r>
      <rPr>
        <sz val="11"/>
        <rFont val="Calibri"/>
        <family val="2"/>
        <scheme val="minor"/>
      </rPr>
      <t>Fixtures</t>
    </r>
  </si>
  <si>
    <t>Project Region:</t>
  </si>
  <si>
    <t>Project Activity:</t>
  </si>
  <si>
    <t>Building Performance Standard - Rehab</t>
  </si>
  <si>
    <r>
      <t xml:space="preserve">Exhaust Fans-Bathroom - NC and </t>
    </r>
    <r>
      <rPr>
        <u/>
        <sz val="11"/>
        <color theme="1"/>
        <rFont val="Calibri"/>
        <family val="2"/>
        <scheme val="minor"/>
      </rPr>
      <t>Substantial</t>
    </r>
    <r>
      <rPr>
        <sz val="11"/>
        <color theme="1"/>
        <rFont val="Calibri"/>
        <family val="2"/>
        <scheme val="minor"/>
      </rPr>
      <t xml:space="preserve"> Rehab</t>
    </r>
  </si>
  <si>
    <t>Exhaust Fans-Bathroom - Moderate Rehab</t>
  </si>
  <si>
    <t>Exhaust Fans-Kitchen - New Construction</t>
  </si>
  <si>
    <t>Exhaust Fans-Kitchen -Rehab</t>
  </si>
  <si>
    <t>Mold Prevention: Water Heaters, Condensing Boilers, etc.</t>
  </si>
  <si>
    <t>Criterion #</t>
  </si>
  <si>
    <t>Criterion Title</t>
  </si>
  <si>
    <t>0, 0.5 to 5</t>
  </si>
  <si>
    <t>0, 1 to 10</t>
  </si>
  <si>
    <t>0, 1 to 5</t>
  </si>
  <si>
    <t>0, 0.5 to 10</t>
  </si>
  <si>
    <t>0 to 3</t>
  </si>
  <si>
    <t>0 or 5</t>
  </si>
  <si>
    <t>0 or 3</t>
  </si>
  <si>
    <t>0 or 10</t>
  </si>
  <si>
    <t>0, 1, 2, 4 or 6</t>
  </si>
  <si>
    <t>0, 2, 4, 6 or 7</t>
  </si>
  <si>
    <t>0, 4, 6 or 8</t>
  </si>
  <si>
    <t>0 or 1</t>
  </si>
  <si>
    <t>0, 2, 3 or 5</t>
  </si>
  <si>
    <t>0, 1, 2 or 3</t>
  </si>
  <si>
    <t>0 or 4</t>
  </si>
  <si>
    <t>0 or 7</t>
  </si>
  <si>
    <t>0 or 2</t>
  </si>
  <si>
    <r>
      <t>Additional Reduction in Energy Use - New Construction (</t>
    </r>
    <r>
      <rPr>
        <sz val="11"/>
        <color indexed="10"/>
        <rFont val="Calibri"/>
        <family val="2"/>
        <scheme val="minor"/>
      </rPr>
      <t>SEE NOTE</t>
    </r>
    <r>
      <rPr>
        <sz val="11"/>
        <color theme="1"/>
        <rFont val="Calibri"/>
        <family val="2"/>
        <scheme val="minor"/>
      </rPr>
      <t>)</t>
    </r>
  </si>
  <si>
    <t>Electricity Meter - New Construction</t>
  </si>
  <si>
    <t>Electricity Meter - Rehab</t>
  </si>
  <si>
    <r>
      <t>Additional Reduction in Energy Use - Rehab (</t>
    </r>
    <r>
      <rPr>
        <sz val="11"/>
        <color indexed="10"/>
        <rFont val="Calibri"/>
        <family val="2"/>
        <scheme val="minor"/>
      </rPr>
      <t>SEE NOTE</t>
    </r>
    <r>
      <rPr>
        <sz val="11"/>
        <rFont val="Calibri"/>
        <family val="2"/>
        <scheme val="minor"/>
      </rPr>
      <t>)</t>
    </r>
  </si>
  <si>
    <r>
      <t>Renewable Energy (</t>
    </r>
    <r>
      <rPr>
        <sz val="11"/>
        <color rgb="FFFF0000"/>
        <rFont val="Calibri"/>
        <family val="2"/>
        <scheme val="minor"/>
      </rPr>
      <t>SEE NOTE</t>
    </r>
    <r>
      <rPr>
        <sz val="11"/>
        <color theme="1"/>
        <rFont val="Calibri"/>
        <family val="2"/>
        <scheme val="minor"/>
      </rPr>
      <t>)</t>
    </r>
  </si>
  <si>
    <r>
      <t>Solar Water Heating (</t>
    </r>
    <r>
      <rPr>
        <sz val="11"/>
        <color rgb="FFFF0000"/>
        <rFont val="Calibri"/>
        <family val="2"/>
        <scheme val="minor"/>
      </rPr>
      <t>SEE NOTE</t>
    </r>
    <r>
      <rPr>
        <sz val="11"/>
        <color theme="1"/>
        <rFont val="Calibri"/>
        <family val="2"/>
        <scheme val="minor"/>
      </rPr>
      <t>)</t>
    </r>
  </si>
  <si>
    <r>
      <t>Domestic Water Heating (</t>
    </r>
    <r>
      <rPr>
        <sz val="11"/>
        <color rgb="FFFF0000"/>
        <rFont val="Calibri"/>
        <family val="2"/>
        <scheme val="minor"/>
      </rPr>
      <t>SEE NOTE</t>
    </r>
    <r>
      <rPr>
        <sz val="11"/>
        <color theme="1"/>
        <rFont val="Calibri"/>
        <family val="2"/>
        <scheme val="minor"/>
      </rPr>
      <t>)</t>
    </r>
  </si>
  <si>
    <r>
      <t>Performance Tested Building Air Sealing (</t>
    </r>
    <r>
      <rPr>
        <sz val="11"/>
        <color indexed="10"/>
        <rFont val="Calibri"/>
        <family val="2"/>
        <scheme val="minor"/>
      </rPr>
      <t>SEE NOTE</t>
    </r>
    <r>
      <rPr>
        <sz val="10"/>
        <rFont val="Calibri"/>
        <family val="2"/>
        <scheme val="minor"/>
      </rPr>
      <t>)</t>
    </r>
  </si>
  <si>
    <r>
      <t>Performance Tested Duct Sealing (</t>
    </r>
    <r>
      <rPr>
        <sz val="11"/>
        <color indexed="10"/>
        <rFont val="Calibri"/>
        <family val="2"/>
        <scheme val="minor"/>
      </rPr>
      <t>SEE NOTE</t>
    </r>
    <r>
      <rPr>
        <sz val="10"/>
        <rFont val="Calibri"/>
        <family val="2"/>
        <scheme val="minor"/>
      </rPr>
      <t>)</t>
    </r>
  </si>
  <si>
    <r>
      <t>Space Heating &amp; Cooling Equipment Replacement (</t>
    </r>
    <r>
      <rPr>
        <sz val="11"/>
        <color indexed="10"/>
        <rFont val="Calibri"/>
        <family val="2"/>
        <scheme val="minor"/>
      </rPr>
      <t>SEE NOTE</t>
    </r>
    <r>
      <rPr>
        <sz val="10"/>
        <rFont val="Calibri"/>
        <family val="2"/>
        <scheme val="minor"/>
      </rPr>
      <t>)</t>
    </r>
  </si>
  <si>
    <t>Total Points Claimed</t>
  </si>
  <si>
    <t>Form 8F: Operating Pro Forma Details</t>
  </si>
  <si>
    <t>* 2015 Maximum Annual Credit Per Low-Income Unit Limit</t>
  </si>
  <si>
    <t>Applicant Name</t>
  </si>
  <si>
    <t xml:space="preserve">City </t>
  </si>
  <si>
    <t>County</t>
  </si>
  <si>
    <t>GeoRegion</t>
  </si>
  <si>
    <t>Leg District</t>
  </si>
  <si>
    <t>HO/MF</t>
  </si>
  <si>
    <t>Act.Typ</t>
  </si>
  <si>
    <t>Unit Notes</t>
  </si>
  <si>
    <t>SizeCat.</t>
  </si>
  <si>
    <t>Eunits</t>
  </si>
  <si>
    <t>CAU</t>
  </si>
  <si>
    <t>MR</t>
  </si>
  <si>
    <t>1 BR</t>
  </si>
  <si>
    <t>2 BR</t>
  </si>
  <si>
    <t>3 BR</t>
  </si>
  <si>
    <t>4 BR</t>
  </si>
  <si>
    <t>5 BR</t>
  </si>
  <si>
    <t>ResSqFt</t>
  </si>
  <si>
    <t>NonResSqFt</t>
  </si>
  <si>
    <t>S1</t>
  </si>
  <si>
    <t>S2</t>
  </si>
  <si>
    <t>S3</t>
  </si>
  <si>
    <t>S4</t>
  </si>
  <si>
    <t>S5</t>
  </si>
  <si>
    <t>S6</t>
  </si>
  <si>
    <t>S7</t>
  </si>
  <si>
    <t>S8</t>
  </si>
  <si>
    <t>Target Pops</t>
  </si>
  <si>
    <t>Permits</t>
  </si>
  <si>
    <t>Const Start Date</t>
  </si>
  <si>
    <t>Completion Date</t>
  </si>
  <si>
    <r>
      <t>Land</t>
    </r>
    <r>
      <rPr>
        <b/>
        <vertAlign val="subscript"/>
        <sz val="11"/>
        <color theme="1"/>
        <rFont val="Calibri"/>
        <family val="2"/>
        <scheme val="minor"/>
      </rPr>
      <t>TDC</t>
    </r>
  </si>
  <si>
    <r>
      <t>Land</t>
    </r>
    <r>
      <rPr>
        <b/>
        <vertAlign val="subscript"/>
        <sz val="11"/>
        <color theme="1"/>
        <rFont val="Calibri"/>
        <family val="2"/>
        <scheme val="minor"/>
      </rPr>
      <t>RDC</t>
    </r>
  </si>
  <si>
    <r>
      <t>ContingTDC</t>
    </r>
    <r>
      <rPr>
        <b/>
        <vertAlign val="subscript"/>
        <sz val="11"/>
        <color theme="1"/>
        <rFont val="Calibri"/>
        <family val="2"/>
        <scheme val="minor"/>
      </rPr>
      <t>nc</t>
    </r>
  </si>
  <si>
    <r>
      <t>ContingTDC</t>
    </r>
    <r>
      <rPr>
        <b/>
        <vertAlign val="subscript"/>
        <sz val="11"/>
        <color theme="1"/>
        <rFont val="Calibri"/>
        <family val="2"/>
        <scheme val="minor"/>
      </rPr>
      <t>rehab</t>
    </r>
  </si>
  <si>
    <r>
      <t>ConstTDC</t>
    </r>
    <r>
      <rPr>
        <b/>
        <vertAlign val="subscript"/>
        <sz val="11"/>
        <color theme="1"/>
        <rFont val="Calibri"/>
        <family val="2"/>
        <scheme val="minor"/>
      </rPr>
      <t>nc</t>
    </r>
  </si>
  <si>
    <r>
      <t>ConstTDC</t>
    </r>
    <r>
      <rPr>
        <b/>
        <vertAlign val="subscript"/>
        <sz val="11"/>
        <color theme="1"/>
        <rFont val="Calibri"/>
        <family val="2"/>
        <scheme val="minor"/>
      </rPr>
      <t>rehab</t>
    </r>
  </si>
  <si>
    <t>ConstrTDC</t>
  </si>
  <si>
    <t>ConstrRDC</t>
  </si>
  <si>
    <t>DevFeeTDC</t>
  </si>
  <si>
    <t>ProjManTDC</t>
  </si>
  <si>
    <t>DevFeeHTF</t>
  </si>
  <si>
    <t>ProjManHTF</t>
  </si>
  <si>
    <t>OpResTDC</t>
  </si>
  <si>
    <t>OpResRDC</t>
  </si>
  <si>
    <t>RepResTDC</t>
  </si>
  <si>
    <t>RepResRDC</t>
  </si>
  <si>
    <t>TDC</t>
  </si>
  <si>
    <t>RDC</t>
  </si>
  <si>
    <t>LIHTC Type</t>
  </si>
  <si>
    <t>TCF</t>
  </si>
  <si>
    <t>HTF Funds</t>
  </si>
  <si>
    <t>LIHTC Amt</t>
  </si>
  <si>
    <t>Total Res</t>
  </si>
  <si>
    <t>Total NonRes</t>
  </si>
  <si>
    <t>Proposed</t>
  </si>
  <si>
    <t>Commit</t>
  </si>
  <si>
    <t>HTF O&amp;M</t>
  </si>
  <si>
    <t>Operating Subs</t>
  </si>
  <si>
    <t>Rent Subs</t>
  </si>
  <si>
    <t>Svc Subs</t>
  </si>
  <si>
    <t>EGI(Y1)</t>
  </si>
  <si>
    <t>MGMTonsite</t>
  </si>
  <si>
    <t>MGMToffsite</t>
  </si>
  <si>
    <t>Total ResidOps Exp (Y1)</t>
  </si>
  <si>
    <t>RepRes(Y1)</t>
  </si>
  <si>
    <t>OpResY1</t>
  </si>
  <si>
    <t>OpResY2</t>
  </si>
  <si>
    <t>SVCs(Y1)</t>
  </si>
  <si>
    <t>DCR (Hard Debt)</t>
  </si>
  <si>
    <t>CashFlowY1</t>
  </si>
  <si>
    <t>CashFlowY2</t>
  </si>
  <si>
    <t>CashFlowY3</t>
  </si>
  <si>
    <t>Services</t>
  </si>
  <si>
    <t>MF</t>
  </si>
  <si>
    <t>61-80%</t>
  </si>
  <si>
    <t>SRO/Studio</t>
  </si>
  <si>
    <t>SRO+Studio</t>
  </si>
  <si>
    <t>9% Points</t>
  </si>
  <si>
    <t>4% Points</t>
  </si>
  <si>
    <t>Bridge?</t>
  </si>
  <si>
    <t>Form 9D: Project Development Consultant Experience</t>
  </si>
  <si>
    <t>Form 11B: 4% LIHTC / Bond LIHTC Scoring Synopsis</t>
  </si>
  <si>
    <t>Form 9E: Project Property Management Firm Experience</t>
  </si>
  <si>
    <t>Building Street Address</t>
  </si>
  <si>
    <t>Multiple Targets (describe below)</t>
  </si>
  <si>
    <t>Multiple Special Needs (describe below)</t>
  </si>
  <si>
    <t>Urban</t>
  </si>
  <si>
    <t>Criterion</t>
  </si>
  <si>
    <t>v2.2 Points</t>
  </si>
  <si>
    <t>Region</t>
  </si>
  <si>
    <t>Type</t>
  </si>
  <si>
    <t>Rural</t>
  </si>
  <si>
    <t>Mandatory and optional 5</t>
  </si>
  <si>
    <t>n/a</t>
  </si>
  <si>
    <t>0, 3 or 5</t>
  </si>
  <si>
    <t>0, 5 or 10, or 5, 7, 9, 12 or 15</t>
  </si>
  <si>
    <t>0, 2 to 8</t>
  </si>
  <si>
    <t>Rehab - Mod</t>
  </si>
  <si>
    <t>0, 3 or 7</t>
  </si>
  <si>
    <t>0, 2, 5 or 7</t>
  </si>
  <si>
    <t>Rehab - Subs</t>
  </si>
  <si>
    <t>n/a (3 or 5 if Tribal)</t>
  </si>
  <si>
    <t>Site 1</t>
  </si>
  <si>
    <t>Site 2</t>
  </si>
  <si>
    <t>Form 1B: Unit Configuration and Affordability (Site 2)</t>
  </si>
  <si>
    <t>Form 1B: Unit Configuration and Affordability (Site 1)</t>
  </si>
  <si>
    <t>Form 2A: Building Information (Site 2)</t>
  </si>
  <si>
    <t>Form 2A: Building Information (Site 1)</t>
  </si>
  <si>
    <t>Form 2B: Square Footage Details (Site 1)</t>
  </si>
  <si>
    <t>Form 2B: Square Footage Details (Site 2)</t>
  </si>
  <si>
    <t>Form 6A: Development Budgets (Site 1)</t>
  </si>
  <si>
    <t>Form 6A: Development Budgets (Site 2)</t>
  </si>
  <si>
    <t>Form 6B: Development Budget Details (Site 1)</t>
  </si>
  <si>
    <t>Form 6C: LIHTC Budget (Basis Calculation) (Site 1)</t>
  </si>
  <si>
    <t>Form 6D: LIHTC Calculation (Site 1)</t>
  </si>
  <si>
    <t>Form 6E Fee Schedule (Site 1)</t>
  </si>
  <si>
    <t>Form 6B: Development Budget Details (Site 2)</t>
  </si>
  <si>
    <t>Form 6C: LIHTC Budget (Basis Calculation)  (Site 2)</t>
  </si>
  <si>
    <t>Form 6D: LIHTC Calculation  (Site 2)</t>
  </si>
  <si>
    <t>Form 6E Fee Schedule  (Site 2)</t>
  </si>
  <si>
    <t xml:space="preserve">Form 7A: Financing Sources </t>
  </si>
  <si>
    <t>Form 8A: Proposed Rents and AMIs Served (Site 1)</t>
  </si>
  <si>
    <t>Form 8A: Proposed Rents and AMIs Served (Site 2)</t>
  </si>
  <si>
    <t>Form 8E: Operating Pro Forma (Site 1)</t>
  </si>
  <si>
    <t>Form 8E(2): Operating Pro Forma (Alternate Without Subsidy) (Site 1)</t>
  </si>
  <si>
    <t>Form 8E: Operating Pro Forma (Site 2)</t>
  </si>
  <si>
    <t>Form 8E(2): Operating Pro Forma (Alternate Without Subsidy) (Site 2)</t>
  </si>
  <si>
    <t>Form 3: Populations to be Served (Site 1)</t>
  </si>
  <si>
    <t>Form 3: Populations to be Served (Site 2)</t>
  </si>
  <si>
    <t>Form 6A: Development Budgets (Rollup of @ Sites)</t>
  </si>
  <si>
    <t>Residential</t>
  </si>
  <si>
    <t>Non-Residential</t>
  </si>
  <si>
    <t>Site Total</t>
  </si>
  <si>
    <t>Site Name (if applicable):</t>
  </si>
  <si>
    <t>Site Name:</t>
  </si>
  <si>
    <t>Form 2C: Evergreen Standard Checklist (Site 2)</t>
  </si>
  <si>
    <t>Form 2C: Evergreen Standard Checklist (Site 1)</t>
  </si>
  <si>
    <t>Site Name</t>
  </si>
  <si>
    <t>Expected LIHTC Equity (Form 6D(b))</t>
  </si>
  <si>
    <t>Expected LIHTC Equity (Form 6D(a))</t>
  </si>
  <si>
    <t>Form 8E: Operating Pro Forma (Rollup of @ Sites)</t>
  </si>
  <si>
    <t>Form 8E(2): Operating Pro Forma (Alternate Without Subsidy) (Rollup of @ Sites)</t>
  </si>
  <si>
    <t>Hard Debt Site 1</t>
  </si>
  <si>
    <t>Hard Debt Site 2</t>
  </si>
  <si>
    <t>Limited Commercial Space on the ground floor - approximately 1,500 sf</t>
  </si>
  <si>
    <t>Yes</t>
  </si>
  <si>
    <t>FF&amp;E</t>
  </si>
  <si>
    <t>temporary parking costs</t>
  </si>
  <si>
    <t>Temporary Parking Costs</t>
  </si>
  <si>
    <t>Bridge Financing - Site 1</t>
  </si>
  <si>
    <t>Permanent Financing, Residential - Site 1</t>
  </si>
  <si>
    <t>Permanent Financing, Non-Residential - Site 1</t>
  </si>
  <si>
    <t>Bridge Financing - Site 2</t>
  </si>
  <si>
    <t>Permanent Financing, Residential - Site 2</t>
  </si>
  <si>
    <t>Project Totals</t>
  </si>
  <si>
    <t>Grand Total</t>
  </si>
  <si>
    <t>Form 8B: Operating, Service and Rent Subsidy Sources (Site 1)</t>
  </si>
  <si>
    <t>Form 8B: Operating, Service and Rent Subsidy Sources (Site 2)</t>
  </si>
  <si>
    <t>Total Proposed</t>
  </si>
  <si>
    <t>Total Committed</t>
  </si>
  <si>
    <t>Form 8C: Operating Personnel Expenses (Site 2)</t>
  </si>
  <si>
    <t>Form 8D: Service Expenses (Site 2)</t>
  </si>
  <si>
    <t>Form 8C: Operating Personnel Expenses (Site 1)</t>
  </si>
  <si>
    <t>University District Apartments</t>
  </si>
  <si>
    <t>Project B - 9%</t>
  </si>
  <si>
    <t>Project A-  4%</t>
  </si>
  <si>
    <t>4738 15th Avenue NE</t>
  </si>
  <si>
    <t>Bellwether Housing</t>
  </si>
  <si>
    <t>N/A</t>
  </si>
  <si>
    <t>Richard Loo</t>
  </si>
  <si>
    <t>206-957-2729</t>
  </si>
  <si>
    <t>rloo@bellwetherhousing.org</t>
  </si>
  <si>
    <t>4738  15th Ave NE</t>
  </si>
  <si>
    <t>Seattle</t>
  </si>
  <si>
    <t>Mid-Rise (4-6 floors w elevator)</t>
  </si>
  <si>
    <t>No</t>
  </si>
  <si>
    <t>Multifamily Rental</t>
  </si>
  <si>
    <t>Permanent Supportive</t>
  </si>
  <si>
    <t>X</t>
  </si>
  <si>
    <t>1651 Bellevue Ave</t>
  </si>
  <si>
    <t>WA</t>
  </si>
  <si>
    <t>91-1116960</t>
  </si>
  <si>
    <t>(206) 957-2727</t>
  </si>
  <si>
    <t>(206) 623-9404</t>
  </si>
  <si>
    <t>ddaley@bellwetherhousing.org</t>
  </si>
  <si>
    <t>Weber Thompson Architects</t>
  </si>
  <si>
    <t>Jeff Reibman, Principal</t>
  </si>
  <si>
    <t>(206) 344-5700</t>
  </si>
  <si>
    <t>jreibman@weberthompson.com</t>
  </si>
  <si>
    <t>Kantor Taylor</t>
  </si>
  <si>
    <t>Andrea Sato, Attorney</t>
  </si>
  <si>
    <t>(206) 812-2505</t>
  </si>
  <si>
    <t>asato@kantortaylor.com</t>
  </si>
  <si>
    <t>Kidder Mathews</t>
  </si>
  <si>
    <t>Gary Klockenteger</t>
  </si>
  <si>
    <t>(206) 205-0200</t>
  </si>
  <si>
    <t>garyk@kiddermathews.com</t>
  </si>
  <si>
    <t>Veronica Redstone, Portfolio Manager</t>
  </si>
  <si>
    <t>(206) 957-2708</t>
  </si>
  <si>
    <t>vredstone@bellwetherhousing.org</t>
  </si>
  <si>
    <t>Walsh Construction</t>
  </si>
  <si>
    <t>Bill Reid, Vice President &amp; General Manager Washington State</t>
  </si>
  <si>
    <t>(206) 547-4008</t>
  </si>
  <si>
    <t>breid@walshconstructionco.com</t>
  </si>
  <si>
    <t>O'Brien and Company</t>
  </si>
  <si>
    <t>Alistair Jackson, Principal</t>
  </si>
  <si>
    <t>(206) 621-8626x114</t>
  </si>
  <si>
    <t>alistair@obrienandco.com</t>
  </si>
  <si>
    <t>University Christian Church</t>
  </si>
  <si>
    <t>Marsha Tolon, Development Committee</t>
  </si>
  <si>
    <t>4731 15th Avenue NE</t>
  </si>
  <si>
    <t>(206) 522-0169</t>
  </si>
  <si>
    <t>mrtolon@mindspring.com</t>
  </si>
  <si>
    <t>Parker Apartments</t>
  </si>
  <si>
    <t>R</t>
  </si>
  <si>
    <t>Owner, Developer, Property Manager</t>
  </si>
  <si>
    <t>Seattle, WA</t>
  </si>
  <si>
    <t>50</t>
  </si>
  <si>
    <t>11/2012</t>
  </si>
  <si>
    <t>01/2015</t>
  </si>
  <si>
    <t>4&amp; LIHTC, Bonds, OH, Sponsor Loan</t>
  </si>
  <si>
    <t>Sunset House</t>
  </si>
  <si>
    <t>82</t>
  </si>
  <si>
    <t>01/2010</t>
  </si>
  <si>
    <t>07/2012</t>
  </si>
  <si>
    <t>9% LIHTC, OH</t>
  </si>
  <si>
    <t>Rose Street Apartments</t>
  </si>
  <si>
    <t>NC</t>
  </si>
  <si>
    <t>71</t>
  </si>
  <si>
    <t>03/2007</t>
  </si>
  <si>
    <t>03/2011</t>
  </si>
  <si>
    <t>4% LIHTC, Bonds, OH, CTED, King County DD, Capital Campaign</t>
  </si>
  <si>
    <t>Canaday House</t>
  </si>
  <si>
    <t>83</t>
  </si>
  <si>
    <t>2007</t>
  </si>
  <si>
    <t>07/2010</t>
  </si>
  <si>
    <t>9% LIHTC, OH, King County, HUD, EDI Grant, HTF</t>
  </si>
  <si>
    <t>1511 Dexter</t>
  </si>
  <si>
    <t>7/14/2011</t>
  </si>
  <si>
    <t>2017</t>
  </si>
  <si>
    <t>4% LIHTC, Bonds, City, Sponsor Loan</t>
  </si>
  <si>
    <t>70</t>
  </si>
  <si>
    <t>2014</t>
  </si>
  <si>
    <t>Current</t>
  </si>
  <si>
    <t>4% LIHTC, Bonds, OH, Sponsor Loan, Bank Loan</t>
  </si>
  <si>
    <t>2011</t>
  </si>
  <si>
    <t>Stone Way Apartments</t>
  </si>
  <si>
    <t>2006</t>
  </si>
  <si>
    <t>4% LIHTC, OH, SHA Holly Park Replacement Housing, CTED, HIPDD, Bank Loan</t>
  </si>
  <si>
    <t>The Gilmore</t>
  </si>
  <si>
    <t>65</t>
  </si>
  <si>
    <t>2003</t>
  </si>
  <si>
    <t>4% LIHTC, Bonds, OH, CTED, Bank Loan</t>
  </si>
  <si>
    <t>Stewart Court</t>
  </si>
  <si>
    <t>2002</t>
  </si>
  <si>
    <t>4% LIHTC, Bonds, OH, Bank Loan</t>
  </si>
  <si>
    <t>Casa Pacifica</t>
  </si>
  <si>
    <t>1998</t>
  </si>
  <si>
    <t>4% LIHTC, Bonds, OH, Other</t>
  </si>
  <si>
    <t>Eagles Housing</t>
  </si>
  <si>
    <t>44</t>
  </si>
  <si>
    <t>1996</t>
  </si>
  <si>
    <t>9% LIHTC, Sponsor Loan, Bank Loan, TDR</t>
  </si>
  <si>
    <t>Mercer Court</t>
  </si>
  <si>
    <t>24</t>
  </si>
  <si>
    <t>4% LIHTC, Bonds, OH</t>
  </si>
  <si>
    <t>Bellevue Olive</t>
  </si>
  <si>
    <t>48</t>
  </si>
  <si>
    <t>1995</t>
  </si>
  <si>
    <t>9% LIHTC, OH, HTF, Bank Loan</t>
  </si>
  <si>
    <t>Cascade Court</t>
  </si>
  <si>
    <t>100</t>
  </si>
  <si>
    <t>1994</t>
  </si>
  <si>
    <t>9% LIHTC, CTED, Bank Loan, Other</t>
  </si>
  <si>
    <t>Option 2:  50% @ 30% AMI, 50% @ 50% AMI (60 Points)</t>
  </si>
  <si>
    <t>Urban:  within 1/4 mile of 3 services and within 1/2 mile of a grocery store</t>
  </si>
  <si>
    <t>City of Seattle</t>
  </si>
  <si>
    <t>Perm Loan</t>
  </si>
  <si>
    <t>LIHTC Equity</t>
  </si>
  <si>
    <t>Deferred Developer Fee</t>
  </si>
  <si>
    <t>4% Bonds</t>
  </si>
  <si>
    <t>4% LIHTC Equity</t>
  </si>
  <si>
    <t>Purchase and Sale Agreement</t>
  </si>
  <si>
    <t>Must close by 7/31/2016</t>
  </si>
  <si>
    <t>Completed</t>
  </si>
  <si>
    <t>Update of original dated 9/11/2014</t>
  </si>
  <si>
    <t>Bellwether internal proforma</t>
  </si>
  <si>
    <t>City OH, King County and HTF</t>
  </si>
  <si>
    <t>WSHFC</t>
  </si>
  <si>
    <t>Preconstruction services from Walsh include 5 est.</t>
  </si>
  <si>
    <t>Commercial Tis</t>
  </si>
  <si>
    <t>Closing costs/Bank Inspections</t>
  </si>
  <si>
    <t>Closing Cost &amp; Bank Inspections</t>
  </si>
  <si>
    <t>Tier A  - Bond Convertible Loan</t>
  </si>
  <si>
    <t>Tier B - Bond - Construction</t>
  </si>
  <si>
    <t>Coverts to Perm</t>
  </si>
  <si>
    <t>City Of Seattle - Office of Housing</t>
  </si>
  <si>
    <t xml:space="preserve">4% Bonds - Perm </t>
  </si>
  <si>
    <t>Deferred Fee</t>
  </si>
  <si>
    <t>Construction Loan</t>
  </si>
  <si>
    <t>LIHTC Equity/OH Funds</t>
  </si>
  <si>
    <t>City Seattle</t>
  </si>
  <si>
    <t>Social Worker 1</t>
  </si>
  <si>
    <t>Social Worker 2</t>
  </si>
  <si>
    <t>Compass</t>
  </si>
  <si>
    <t>60.1% of Onsite Manager</t>
  </si>
  <si>
    <t>60.1%  of Leasing Assistant</t>
  </si>
  <si>
    <t>60.1% of Cleaner/Light Maintenance</t>
  </si>
  <si>
    <t>60.1% of Maintenance Staff</t>
  </si>
  <si>
    <t>Bellwether</t>
  </si>
  <si>
    <t>39.9% of On Site Manager</t>
  </si>
  <si>
    <t>39.9% of Leasing Assistant</t>
  </si>
  <si>
    <t>39.9% of Cleaner Light Maitenance</t>
  </si>
  <si>
    <t>39.9% of Maintenance Staff</t>
  </si>
  <si>
    <t>Laundry</t>
  </si>
  <si>
    <t>Fees/Interest</t>
  </si>
  <si>
    <t>Fee/Interest</t>
  </si>
  <si>
    <t>Extra Rent from Project Based Rental Assistance for : 10 Studios, 10-1BR, 12-2BR, 8-3BR Units, Less 5% Vacancy</t>
  </si>
  <si>
    <t>Property Management Staff  are shared between 4% and 9% projects and costs are allocated based on unit count</t>
  </si>
  <si>
    <t>`</t>
  </si>
  <si>
    <t>If Project Based Rental Assistance amount is reduced, then services will be scaled back accordingly.  If Project Based Rental Assistance cannot be secured, then no services will be provided as shown in Form #8E (2).</t>
  </si>
  <si>
    <t>24 months</t>
  </si>
  <si>
    <t>Lender 1 - 4% Bonds</t>
  </si>
  <si>
    <t xml:space="preserve">Lender 2 - Office Of Housing </t>
  </si>
  <si>
    <t>Lender 2 - King County</t>
  </si>
  <si>
    <t>Lender 4 - Office of Housing</t>
  </si>
  <si>
    <t>Lender 1 - Permanent Loan</t>
  </si>
  <si>
    <t>Lender 3 - State Housing Trust Fund</t>
  </si>
  <si>
    <t>Reserve Set Aside for Property Taxes in YR 13, 14, 15</t>
  </si>
  <si>
    <t>Bellwether Loan</t>
  </si>
  <si>
    <t>Bank Perm Loan</t>
  </si>
  <si>
    <t>4% Project Portion</t>
  </si>
  <si>
    <t>Seattle City Light Fees - Underground/Service/Temp</t>
  </si>
  <si>
    <t>Seattle City Light - Undergrounding/Perm/Temp</t>
  </si>
  <si>
    <t>Form 7A: Financing Sources (Site 2)</t>
  </si>
  <si>
    <t>Form 7A: Financing Sources (Site 1)</t>
  </si>
  <si>
    <t>Form 7B: Estimate of Cash Flow During Development (Site 1)</t>
  </si>
  <si>
    <t>Form 7B: Estimate of Cash Flow During Development (Site 2)</t>
  </si>
  <si>
    <t>Douglas Daley</t>
  </si>
  <si>
    <t>Housing Trust Fund</t>
  </si>
  <si>
    <t>Loan</t>
  </si>
  <si>
    <t>Public</t>
  </si>
  <si>
    <t>Deferred</t>
  </si>
  <si>
    <t>Private</t>
  </si>
  <si>
    <t>12 years</t>
  </si>
  <si>
    <t>From cash flow</t>
  </si>
  <si>
    <t>40 years</t>
  </si>
  <si>
    <t>17 years</t>
  </si>
  <si>
    <t>Lender 2 King County</t>
  </si>
  <si>
    <t>The vacancy factors uses is 5% and this is an accptable industry standard.  The inflation factor used for revenue, off-site management (tied to revenue), services (funded by revenue) is 2.5%.  The inflation factor for expenses is 3.5%, and this reflects avergae annual increases in the Bellwether Portfolio.  The exception is Water/Sewer expenses and the inflation factoir used is 4%.</t>
  </si>
  <si>
    <t>Management On-Site is based on proposed staffing levels - salaries and expenses</t>
  </si>
  <si>
    <t>Management  Off-Site is based on 6% of EGI</t>
  </si>
  <si>
    <t>Based on annual audit cost of $8,500 for each project</t>
  </si>
  <si>
    <t>For 4% Project, assumes City MFTE for 12 years, for 9% Project assumed State MFTE</t>
  </si>
  <si>
    <t>Number arrived at from Bellwether Portfolio expenses</t>
  </si>
  <si>
    <t>Number arrived at from Bellwether Portfolio expenses with deduct for AMP elements</t>
  </si>
  <si>
    <t>Number arrived at from Bellwether Porfolio, with dedut for efficiencies gained through resident engagement</t>
  </si>
  <si>
    <t>Other Expenses include: Manager Units, Compliance and Leasing, Maintenance Office Overhead,Office Expenses, Call Center, Fees, Resident Activities and Write-Offs</t>
  </si>
  <si>
    <t>Master Use Permit Decision to be Published</t>
  </si>
  <si>
    <t>Master Use Permit Ready for Issuance</t>
  </si>
  <si>
    <t>Calculated - 6 months interest and operating expense</t>
  </si>
  <si>
    <t>$350/unit/year</t>
  </si>
  <si>
    <t>Based on Purchase and Sales Agreement - Allocated between 4% Project, 9% Project, and Commercial Use</t>
  </si>
  <si>
    <t>Estimate</t>
  </si>
  <si>
    <t>Based on 5% of Hard Costs</t>
  </si>
  <si>
    <t>Estimate Placeholder</t>
  </si>
  <si>
    <t>Based on 9.6% of Hard Costs</t>
  </si>
  <si>
    <t>Based on cost for Market Study July 2014 plus update September 2015</t>
  </si>
  <si>
    <t>Based on actual costs</t>
  </si>
  <si>
    <t>Based on actual costs plus project services during construction</t>
  </si>
  <si>
    <t>Based on cost spent to date plus projection from surveyor for condo declaration services</t>
  </si>
  <si>
    <t>Based on estimate from Kantor Taylor (Financing)  and Foster Pepper (Land Use)</t>
  </si>
  <si>
    <t>Based on development budget and public funding limitations</t>
  </si>
  <si>
    <t>Based on 4% Project's share of Construction Management Fee of $16,000/month x 16 months</t>
  </si>
  <si>
    <t>Based on internal budget</t>
  </si>
  <si>
    <t>Yr-1 leaseup cost plus contingency</t>
  </si>
  <si>
    <t>Based on Bellwether Portfolio wide insurance expensed</t>
  </si>
  <si>
    <t>Based on Sewer Hook-Up charges and historical data, DPD worksheets</t>
  </si>
  <si>
    <t>Estimate for Cost Certfication</t>
  </si>
  <si>
    <t>Placeholder</t>
  </si>
  <si>
    <t>Closing Cost and Bank Inspections</t>
  </si>
  <si>
    <t>Based on Bellwether Loan of $1,025,322 (projected) to 4% Project for PreDev Activities,  rate @ 4%</t>
  </si>
  <si>
    <t>Based on Bellwether Loan of $659,677 (projected) to 4% Project for PreDev Activities,  rate @ 4%</t>
  </si>
  <si>
    <t>50 years</t>
  </si>
  <si>
    <t>From below line item cash flow</t>
  </si>
  <si>
    <t>From below line item cashflow</t>
  </si>
  <si>
    <t>08/31/2-18</t>
  </si>
  <si>
    <t>Based on relocation plan - assuming federal source of funds that would trigger URA</t>
  </si>
  <si>
    <t>Based on consultant Contracts signed to date (80% of total) plus estimate of other consultant contracts to be executed</t>
  </si>
  <si>
    <t>Based on costs spent to date plus projection from surveyor for condo declaration services</t>
  </si>
  <si>
    <t>Calculated based on WSHFC rules</t>
  </si>
  <si>
    <t>Deffered</t>
  </si>
  <si>
    <t>Program Manager</t>
  </si>
  <si>
    <t>The Common Area Unit is part of the 80 units listed above.</t>
  </si>
  <si>
    <t>Existing Lien from HTF - Allocated between 4% Project, 9% Project and Commercial Use</t>
  </si>
  <si>
    <t>Based On Walsh Construction Estimate July 2015 - (includes esclation to April 2016)</t>
  </si>
  <si>
    <t>Based On Walsh Construction Estimate Juy 2015 - (includes esclation to April 2016)</t>
  </si>
  <si>
    <t>Based on Bellwether Portfolio wide insurance expenses</t>
  </si>
  <si>
    <t>Calculation based on flow on construction loan proceeds</t>
  </si>
  <si>
    <t>$350 per unit per year- generally accepted underwriting number</t>
  </si>
  <si>
    <t>Other Activities represent a contingency in the Relocation Budget.  The above budget presumes that the project will receive Federal money and the U.R.A. applies in determining the amount of relocation assistance provided.</t>
  </si>
  <si>
    <t>TBD</t>
  </si>
  <si>
    <t>Walsh Construction Co. has been selected for preconstruction services/</t>
  </si>
  <si>
    <t>TBD when subsides can be obtained to fund services.  Services will not be provided if subsidies cannot be secured.</t>
  </si>
  <si>
    <t>10 years</t>
  </si>
  <si>
    <t>Loan Conversion is projected to occur the end of Q3 - 2018.  All predevelopment expenses prior  to closing are funded by Bellwether.</t>
  </si>
  <si>
    <t>Loan Conversion projected to occur at end of Q3 2018.  All predevelopment expenses prior  to closing are funded by Bellwether.</t>
  </si>
  <si>
    <t>Fees/Interest + CAU Rent</t>
  </si>
  <si>
    <t>Compass Housing Alliance will provide supportive services for the 40 units.</t>
  </si>
  <si>
    <t xml:space="preserve">Energy Efficiency Incentives </t>
  </si>
  <si>
    <t>Energy Efficiency Incentives</t>
  </si>
  <si>
    <t>Property Management Staff  are shared between 4% and 9% projects and costs are allocated based on unit count.</t>
  </si>
  <si>
    <t>No are provided for Site 1 - 4% Project.</t>
  </si>
  <si>
    <t>43rd District</t>
  </si>
  <si>
    <t>WA  7th District</t>
  </si>
  <si>
    <t>WA   7th District</t>
  </si>
  <si>
    <t>KC 53.01</t>
  </si>
  <si>
    <t>882390-2175, 882390-2180, 882390-2185, 882390-2200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</si>
</sst>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_);_(&quot;$&quot;* \(#,##0\);_(&quot;$&quot;* &quot;-&quot;??_);_(@_)"/>
    <numFmt numFmtId="170" formatCode="0;\-0;;@"/>
  </numFmts>
  <fonts count="1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color indexed="8"/>
      <name val="Arial"/>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u/>
      <sz val="10"/>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i/>
      <sz val="8"/>
      <name val="Calibri"/>
      <family val="2"/>
      <scheme val="minor"/>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b/>
      <sz val="11"/>
      <color rgb="FF000000"/>
      <name val="Calibri"/>
      <family val="2"/>
      <scheme val="minor"/>
    </font>
    <font>
      <i/>
      <sz val="11"/>
      <color indexed="8"/>
      <name val="Calibri"/>
      <family val="2"/>
      <scheme val="minor"/>
    </font>
    <font>
      <b/>
      <sz val="10"/>
      <color indexed="8"/>
      <name val="Calibri"/>
      <family val="2"/>
      <scheme val="minor"/>
    </font>
    <font>
      <i/>
      <sz val="10"/>
      <color indexed="8"/>
      <name val="Calibri"/>
      <family val="2"/>
      <scheme val="minor"/>
    </font>
    <font>
      <sz val="11"/>
      <color rgb="FF000000"/>
      <name val="Calibri"/>
      <family val="2"/>
      <scheme val="minor"/>
    </font>
    <font>
      <b/>
      <sz val="11"/>
      <name val="Calibri"/>
      <family val="2"/>
    </font>
    <font>
      <sz val="11"/>
      <name val="Calibri"/>
      <family val="2"/>
    </font>
    <font>
      <u/>
      <sz val="11"/>
      <color indexed="8"/>
      <name val="Calibri"/>
      <family val="2"/>
    </font>
    <font>
      <u/>
      <sz val="11"/>
      <color theme="1"/>
      <name val="Calibri"/>
      <family val="2"/>
      <scheme val="minor"/>
    </font>
    <font>
      <sz val="11"/>
      <color indexed="10"/>
      <name val="Calibri"/>
      <family val="2"/>
      <scheme val="minor"/>
    </font>
    <font>
      <sz val="11"/>
      <color rgb="FFFF0000"/>
      <name val="Calibri"/>
      <family val="2"/>
      <scheme val="minor"/>
    </font>
    <font>
      <b/>
      <sz val="14"/>
      <color theme="1"/>
      <name val="Calibri"/>
      <family val="2"/>
      <scheme val="minor"/>
    </font>
    <font>
      <sz val="10"/>
      <color rgb="FFFF0000"/>
      <name val="Calibri"/>
      <family val="2"/>
      <scheme val="minor"/>
    </font>
    <font>
      <b/>
      <vertAlign val="subscript"/>
      <sz val="11"/>
      <color theme="1"/>
      <name val="Calibri"/>
      <family val="2"/>
      <scheme val="minor"/>
    </font>
    <font>
      <sz val="10"/>
      <color indexed="8"/>
      <name val="Calibri"/>
      <family val="2"/>
    </font>
    <font>
      <sz val="11"/>
      <color theme="1"/>
      <name val="Agency FB"/>
      <family val="2"/>
    </font>
    <font>
      <sz val="10"/>
      <color indexed="9"/>
      <name val="Calibri"/>
      <family val="2"/>
    </font>
    <font>
      <sz val="10"/>
      <color indexed="20"/>
      <name val="Calibri"/>
      <family val="2"/>
    </font>
    <font>
      <b/>
      <sz val="11"/>
      <color rgb="FFFA7D00"/>
      <name val="Agency FB"/>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rgb="FF3F3F76"/>
      <name val="Agency FB"/>
      <family val="2"/>
    </font>
    <font>
      <sz val="10"/>
      <color indexed="62"/>
      <name val="Calibri"/>
      <family val="2"/>
    </font>
    <font>
      <sz val="10"/>
      <color indexed="52"/>
      <name val="Calibri"/>
      <family val="2"/>
    </font>
    <font>
      <sz val="10"/>
      <color indexed="60"/>
      <name val="Calibri"/>
      <family val="2"/>
    </font>
    <font>
      <sz val="10"/>
      <name val="Calibri"/>
      <family val="1"/>
      <scheme val="minor"/>
    </font>
    <font>
      <b/>
      <sz val="10"/>
      <color indexed="63"/>
      <name val="Calibri"/>
      <family val="2"/>
    </font>
    <font>
      <b/>
      <sz val="18"/>
      <color indexed="56"/>
      <name val="Cambria"/>
      <family val="2"/>
    </font>
    <font>
      <b/>
      <sz val="10"/>
      <color indexed="8"/>
      <name val="Calibri"/>
      <family val="2"/>
    </font>
    <font>
      <sz val="10"/>
      <color indexed="10"/>
      <name val="Calibri"/>
      <family val="2"/>
    </font>
    <font>
      <sz val="8"/>
      <color theme="1"/>
      <name val="Calibri"/>
      <family val="2"/>
      <scheme val="minor"/>
    </font>
  </fonts>
  <fills count="5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lightUp">
        <bgColor theme="0" tint="-0.24994659260841701"/>
      </patternFill>
    </fill>
    <fill>
      <patternFill patternType="solid">
        <fgColor theme="9" tint="0.59999389629810485"/>
        <bgColor indexed="64"/>
      </patternFill>
    </fill>
    <fill>
      <patternFill patternType="solid">
        <fgColor theme="0"/>
        <bgColor indexed="9"/>
      </patternFill>
    </fill>
    <fill>
      <patternFill patternType="solid">
        <fgColor theme="4" tint="0.79998168889431442"/>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rgb="FFCCECFF"/>
        <bgColor indexed="64"/>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07">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top style="thin">
        <color theme="0" tint="-0.14996795556505021"/>
      </top>
      <bottom style="thin">
        <color theme="0" tint="-0.14996795556505021"/>
      </bottom>
      <diagonal/>
    </border>
    <border>
      <left/>
      <right/>
      <top style="medium">
        <color indexed="64"/>
      </top>
      <bottom style="medium">
        <color theme="4" tint="-0.499984740745262"/>
      </bottom>
      <diagonal/>
    </border>
    <border>
      <left style="thin">
        <color indexed="64"/>
      </left>
      <right/>
      <top style="thin">
        <color theme="0" tint="-0.14996795556505021"/>
      </top>
      <bottom style="thin">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14996795556505021"/>
      </left>
      <right/>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style="thin">
        <color theme="0" tint="-0.14996795556505021"/>
      </left>
      <right/>
      <top style="thin">
        <color theme="0" tint="-0.24994659260841701"/>
      </top>
      <bottom style="double">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theme="0" tint="-0.24994659260841701"/>
      </top>
      <bottom/>
      <diagonal/>
    </border>
    <border>
      <left style="thin">
        <color indexed="64"/>
      </left>
      <right style="thin">
        <color theme="0" tint="-0.14996795556505021"/>
      </right>
      <top style="thin">
        <color theme="0" tint="-0.1499679555650502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double">
        <color indexed="64"/>
      </left>
      <right/>
      <top/>
      <bottom style="medium">
        <color indexed="64"/>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theme="0" tint="-0.14993743705557422"/>
      </left>
      <right/>
      <top style="thin">
        <color theme="0" tint="-0.24994659260841701"/>
      </top>
      <bottom style="medium">
        <color indexed="64"/>
      </bottom>
      <diagonal/>
    </border>
    <border>
      <left style="thin">
        <color theme="0" tint="-0.14993743705557422"/>
      </left>
      <right style="medium">
        <color indexed="64"/>
      </right>
      <top style="thin">
        <color theme="0" tint="-0.24994659260841701"/>
      </top>
      <bottom style="thin">
        <color theme="0" tint="-0.24994659260841701"/>
      </bottom>
      <diagonal/>
    </border>
    <border>
      <left style="thin">
        <color theme="0" tint="-0.14993743705557422"/>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indexed="64"/>
      </left>
      <right style="medium">
        <color indexed="64"/>
      </right>
      <top/>
      <bottom/>
      <diagonal/>
    </border>
    <border>
      <left style="thin">
        <color theme="0" tint="-0.24994659260841701"/>
      </left>
      <right style="medium">
        <color indexed="64"/>
      </right>
      <top style="thin">
        <color theme="0" tint="-0.24994659260841701"/>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thin">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indexed="64"/>
      </left>
      <right style="thin">
        <color indexed="64"/>
      </right>
      <top style="thin">
        <color theme="0" tint="-0.24994659260841701"/>
      </top>
      <bottom style="thin">
        <color indexed="64"/>
      </bottom>
      <diagonal/>
    </border>
    <border>
      <left/>
      <right style="thin">
        <color theme="0" tint="-0.14996795556505021"/>
      </right>
      <top style="thin">
        <color theme="0" tint="-0.14996795556505021"/>
      </top>
      <bottom style="medium">
        <color indexed="64"/>
      </bottom>
      <diagonal/>
    </border>
    <border>
      <left style="medium">
        <color indexed="64"/>
      </left>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thin">
        <color theme="0" tint="-0.24994659260841701"/>
      </top>
      <bottom style="thin">
        <color auto="1"/>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style="double">
        <color auto="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theme="0" tint="-0.24994659260841701"/>
      </right>
      <top style="medium">
        <color indexed="64"/>
      </top>
      <bottom/>
      <diagonal/>
    </border>
    <border>
      <left style="medium">
        <color indexed="64"/>
      </left>
      <right style="thin">
        <color auto="1"/>
      </right>
      <top style="medium">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style="medium">
        <color indexed="64"/>
      </right>
      <top style="thin">
        <color indexed="64"/>
      </top>
      <bottom style="thin">
        <color theme="0" tint="-0.24994659260841701"/>
      </bottom>
      <diagonal/>
    </border>
    <border>
      <left/>
      <right style="medium">
        <color indexed="64"/>
      </right>
      <top/>
      <bottom style="medium">
        <color auto="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double">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theme="3" tint="-0.24994659260841701"/>
      </left>
      <right/>
      <top/>
      <bottom style="medium">
        <color theme="3" tint="-0.499984740745262"/>
      </bottom>
      <diagonal/>
    </border>
    <border>
      <left/>
      <right style="medium">
        <color theme="3" tint="-0.24994659260841701"/>
      </right>
      <top/>
      <bottom style="medium">
        <color theme="3" tint="-0.499984740745262"/>
      </bottom>
      <diagonal/>
    </border>
    <border>
      <left style="medium">
        <color theme="4" tint="-0.499984740745262"/>
      </left>
      <right/>
      <top style="medium">
        <color theme="3" tint="-0.499984740745262"/>
      </top>
      <bottom/>
      <diagonal/>
    </border>
    <border>
      <left/>
      <right style="medium">
        <color theme="4" tint="-0.499984740745262"/>
      </right>
      <top style="medium">
        <color theme="3" tint="-0.499984740745262"/>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thin">
        <color theme="0" tint="-0.14996795556505021"/>
      </left>
      <right/>
      <top style="medium">
        <color indexed="64"/>
      </top>
      <bottom style="thin">
        <color theme="0" tint="-0.14996795556505021"/>
      </bottom>
      <diagonal/>
    </border>
    <border>
      <left/>
      <right style="medium">
        <color indexed="64"/>
      </right>
      <top style="medium">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theme="0" tint="-0.24994659260841701"/>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style="thin">
        <color theme="0" tint="-0.14996795556505021"/>
      </left>
      <right style="medium">
        <color indexed="64"/>
      </right>
      <top style="medium">
        <color indexed="64"/>
      </top>
      <bottom style="thin">
        <color theme="0" tint="-0.24994659260841701"/>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theme="0" tint="-0.1499679555650502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14996795556505021"/>
      </left>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14993743705557422"/>
      </left>
      <right/>
      <top style="medium">
        <color indexed="64"/>
      </top>
      <bottom style="thin">
        <color theme="0" tint="-0.24994659260841701"/>
      </bottom>
      <diagonal/>
    </border>
    <border>
      <left style="thin">
        <color theme="0" tint="-0.14993743705557422"/>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right style="thin">
        <color indexed="64"/>
      </right>
      <top style="medium">
        <color indexed="64"/>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64"/>
      </left>
      <right style="thin">
        <color indexed="64"/>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right style="thin">
        <color indexed="22"/>
      </right>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style="medium">
        <color indexed="64"/>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thin">
        <color theme="0" tint="-0.14996795556505021"/>
      </top>
      <bottom style="medium">
        <color indexed="64"/>
      </bottom>
      <diagonal/>
    </border>
    <border>
      <left style="thin">
        <color indexed="22"/>
      </left>
      <right style="medium">
        <color indexed="64"/>
      </right>
      <top style="thin">
        <color indexed="22"/>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thin">
        <color indexed="22"/>
      </right>
      <top style="thin">
        <color theme="0" tint="-0.2499465926084170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medium">
        <color indexed="64"/>
      </right>
      <top style="hair">
        <color theme="0" tint="-0.14993743705557422"/>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top style="thin">
        <color indexed="64"/>
      </top>
      <bottom style="thin">
        <color theme="0" tint="-0.24994659260841701"/>
      </bottom>
      <diagonal/>
    </border>
    <border>
      <left/>
      <right/>
      <top style="thin">
        <color theme="0" tint="-0.14996795556505021"/>
      </top>
      <bottom/>
      <diagonal/>
    </border>
    <border>
      <left style="thin">
        <color theme="0" tint="-0.34998626667073579"/>
      </left>
      <right style="medium">
        <color indexed="64"/>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top/>
      <bottom style="thin">
        <color rgb="FF08A8CE"/>
      </bottom>
      <diagonal/>
    </border>
    <border>
      <left style="thin">
        <color indexed="22"/>
      </left>
      <right/>
      <top style="thin">
        <color theme="0" tint="-0.24994659260841701"/>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double">
        <color indexed="64"/>
      </bottom>
      <diagonal/>
    </border>
    <border>
      <left/>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medium">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right style="hair">
        <color indexed="64"/>
      </right>
      <top style="hair">
        <color indexed="64"/>
      </top>
      <bottom/>
      <diagonal/>
    </border>
    <border>
      <left style="medium">
        <color indexed="64"/>
      </left>
      <right/>
      <top/>
      <bottom style="thin">
        <color theme="0" tint="-0.14996795556505021"/>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theme="0" tint="-0.24994659260841701"/>
      </right>
      <top style="thin">
        <color theme="0" tint="-0.24994659260841701"/>
      </top>
      <bottom style="double">
        <color auto="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medium">
        <color indexed="64"/>
      </left>
      <right/>
      <top style="medium">
        <color indexed="64"/>
      </top>
      <bottom/>
      <diagonal/>
    </border>
    <border>
      <left style="thin">
        <color theme="0" tint="-0.24994659260841701"/>
      </left>
      <right/>
      <top style="medium">
        <color indexed="64"/>
      </top>
      <bottom/>
      <diagonal/>
    </border>
    <border>
      <left style="thin">
        <color theme="0" tint="-0.24994659260841701"/>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style="medium">
        <color indexed="64"/>
      </left>
      <right/>
      <top style="medium">
        <color indexed="64"/>
      </top>
      <bottom style="thin">
        <color indexed="64"/>
      </bottom>
      <diagonal/>
    </border>
    <border>
      <left/>
      <right style="thin">
        <color theme="0" tint="-0.24994659260841701"/>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medium">
        <color indexed="64"/>
      </right>
      <top/>
      <bottom style="thin">
        <color theme="0" tint="-0.24994659260841701"/>
      </bottom>
      <diagonal/>
    </border>
    <border>
      <left style="thin">
        <color theme="0" tint="-0.14996795556505021"/>
      </left>
      <right style="medium">
        <color indexed="64"/>
      </right>
      <top style="thin">
        <color theme="0" tint="-0.24994659260841701"/>
      </top>
      <bottom style="double">
        <color indexed="64"/>
      </bottom>
      <diagonal/>
    </border>
    <border>
      <left style="thin">
        <color theme="0" tint="-0.14996795556505021"/>
      </left>
      <right style="double">
        <color indexed="64"/>
      </right>
      <top style="double">
        <color indexed="64"/>
      </top>
      <bottom style="double">
        <color indexed="64"/>
      </bottom>
      <diagonal/>
    </border>
    <border>
      <left/>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diagonal/>
    </border>
    <border>
      <left/>
      <right/>
      <top/>
      <bottom style="medium">
        <color indexed="64"/>
      </bottom>
      <diagonal/>
    </border>
    <border>
      <left/>
      <right style="medium">
        <color indexed="64"/>
      </right>
      <top/>
      <bottom style="medium">
        <color indexed="64"/>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medium">
        <color indexed="64"/>
      </bottom>
      <diagonal/>
    </border>
    <border>
      <left/>
      <right style="thin">
        <color indexed="64"/>
      </right>
      <top style="thin">
        <color indexed="64"/>
      </top>
      <bottom style="thin">
        <color theme="0" tint="-0.24994659260841701"/>
      </bottom>
      <diagonal/>
    </border>
    <border>
      <left/>
      <right style="double">
        <color auto="1"/>
      </right>
      <top style="medium">
        <color auto="1"/>
      </top>
      <bottom style="medium">
        <color auto="1"/>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right style="thin">
        <color theme="0" tint="-0.14996795556505021"/>
      </right>
      <top/>
      <bottom style="thin">
        <color theme="0" tint="-0.149967955565050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auto="1"/>
      </top>
      <bottom style="thin">
        <color theme="0" tint="-0.14996795556505021"/>
      </bottom>
      <diagonal/>
    </border>
    <border>
      <left/>
      <right style="thin">
        <color theme="0" tint="-0.14996795556505021"/>
      </right>
      <top style="medium">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4" tint="0.39994506668294322"/>
      </top>
      <bottom style="double">
        <color indexed="64"/>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medium">
        <color indexed="64"/>
      </top>
      <bottom style="thin">
        <color theme="4" tint="0.39994506668294322"/>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indexed="64"/>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indexed="64"/>
      </bottom>
      <diagonal/>
    </border>
    <border>
      <left/>
      <right/>
      <top style="thin">
        <color theme="4" tint="0.39994506668294322"/>
      </top>
      <bottom style="thin">
        <color indexed="64"/>
      </bottom>
      <diagonal/>
    </border>
    <border>
      <left/>
      <right/>
      <top style="thin">
        <color indexed="64"/>
      </top>
      <bottom style="thin">
        <color theme="4" tint="0.39994506668294322"/>
      </bottom>
      <diagonal/>
    </border>
    <border>
      <left style="thin">
        <color indexed="64"/>
      </left>
      <right style="thin">
        <color theme="0" tint="-0.14996795556505021"/>
      </right>
      <top/>
      <bottom/>
      <diagonal/>
    </border>
    <border>
      <left/>
      <right style="thin">
        <color theme="0" tint="-0.14996795556505021"/>
      </right>
      <top style="thin">
        <color indexed="64"/>
      </top>
      <bottom style="thin">
        <color theme="3" tint="0.59996337778862885"/>
      </bottom>
      <diagonal/>
    </border>
    <border>
      <left/>
      <right style="thin">
        <color theme="0" tint="-0.14996795556505021"/>
      </right>
      <top style="thin">
        <color theme="3" tint="0.59996337778862885"/>
      </top>
      <bottom style="thin">
        <color indexed="64"/>
      </bottom>
      <diagonal/>
    </border>
    <border>
      <left/>
      <right style="thin">
        <color theme="0" tint="-0.14996795556505021"/>
      </right>
      <top style="thin">
        <color theme="3" tint="0.59996337778862885"/>
      </top>
      <bottom style="thin">
        <color theme="3" tint="0.59996337778862885"/>
      </bottom>
      <diagonal/>
    </border>
    <border>
      <left/>
      <right/>
      <top style="thin">
        <color indexed="64"/>
      </top>
      <bottom style="thin">
        <color theme="3" tint="0.59996337778862885"/>
      </bottom>
      <diagonal/>
    </border>
    <border>
      <left/>
      <right/>
      <top style="thin">
        <color theme="3" tint="0.59996337778862885"/>
      </top>
      <bottom style="thin">
        <color theme="3" tint="0.59996337778862885"/>
      </bottom>
      <diagonal/>
    </border>
    <border>
      <left/>
      <right/>
      <top style="thin">
        <color theme="3" tint="0.59996337778862885"/>
      </top>
      <bottom style="thin">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indexed="64"/>
      </left>
      <right/>
      <top style="thin">
        <color theme="3" tint="0.59996337778862885"/>
      </top>
      <bottom style="thin">
        <color theme="4" tint="0.39994506668294322"/>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3743705557422"/>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theme="0" tint="-0.14993743705557422"/>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style="thin">
        <color theme="0" tint="-0.14996795556505021"/>
      </left>
      <right/>
      <top style="medium">
        <color indexed="64"/>
      </top>
      <bottom style="thin">
        <color theme="0" tint="-0.14993743705557422"/>
      </bottom>
      <diagonal/>
    </border>
    <border>
      <left style="thin">
        <color theme="0" tint="-0.14993743705557422"/>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3743705557422"/>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style="thin">
        <color theme="0" tint="-0.24994659260841701"/>
      </left>
      <right/>
      <top style="thin">
        <color indexed="64"/>
      </top>
      <bottom style="thin">
        <color indexed="64"/>
      </bottom>
      <diagonal/>
    </border>
    <border>
      <left style="thin">
        <color indexed="64"/>
      </left>
      <right style="medium">
        <color indexed="64"/>
      </right>
      <top style="thin">
        <color theme="0" tint="-0.24994659260841701"/>
      </top>
      <bottom style="double">
        <color auto="1"/>
      </bottom>
      <diagonal/>
    </border>
    <border>
      <left/>
      <right/>
      <top style="thin">
        <color indexed="64"/>
      </top>
      <bottom style="thin">
        <color theme="0" tint="-0.24994659260841701"/>
      </bottom>
      <diagonal/>
    </border>
    <border>
      <left/>
      <right/>
      <top style="thin">
        <color theme="0" tint="-0.24994659260841701"/>
      </top>
      <bottom style="double">
        <color auto="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double">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double">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style="medium">
        <color indexed="64"/>
      </right>
      <top style="thin">
        <color theme="0" tint="-0.24994659260841701"/>
      </top>
      <bottom/>
      <diagonal/>
    </border>
    <border>
      <left style="double">
        <color indexed="64"/>
      </left>
      <right/>
      <top style="thin">
        <color indexed="64"/>
      </top>
      <bottom style="medium">
        <color auto="1"/>
      </bottom>
      <diagonal/>
    </border>
    <border>
      <left style="thin">
        <color theme="0" tint="-0.14993743705557422"/>
      </left>
      <right style="thin">
        <color theme="0" tint="-0.14990691854609822"/>
      </right>
      <top style="medium">
        <color indexed="64"/>
      </top>
      <bottom style="thin">
        <color theme="0" tint="-0.24994659260841701"/>
      </bottom>
      <diagonal/>
    </border>
    <border>
      <left style="thin">
        <color theme="0" tint="-0.14990691854609822"/>
      </left>
      <right style="thin">
        <color theme="0" tint="-0.14993743705557422"/>
      </right>
      <top style="medium">
        <color indexed="64"/>
      </top>
      <bottom style="thin">
        <color theme="0" tint="-0.24994659260841701"/>
      </bottom>
      <diagonal/>
    </border>
    <border>
      <left style="thin">
        <color theme="0" tint="-0.14993743705557422"/>
      </left>
      <right style="thin">
        <color theme="0" tint="-0.14990691854609822"/>
      </right>
      <top style="thin">
        <color theme="0" tint="-0.24994659260841701"/>
      </top>
      <bottom style="thin">
        <color theme="0" tint="-0.24994659260841701"/>
      </bottom>
      <diagonal/>
    </border>
    <border>
      <left style="thin">
        <color theme="0" tint="-0.14990691854609822"/>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24994659260841701"/>
      </top>
      <bottom style="medium">
        <color indexed="64"/>
      </bottom>
      <diagonal/>
    </border>
    <border>
      <left style="thin">
        <color theme="0" tint="-0.14990691854609822"/>
      </left>
      <right style="thin">
        <color theme="0" tint="-0.14993743705557422"/>
      </right>
      <top style="thin">
        <color theme="0" tint="-0.24994659260841701"/>
      </top>
      <bottom style="medium">
        <color indexed="64"/>
      </bottom>
      <diagonal/>
    </border>
    <border>
      <left style="thin">
        <color theme="0" tint="-0.14990691854609822"/>
      </left>
      <right style="thin">
        <color theme="0" tint="-0.24994659260841701"/>
      </right>
      <top style="medium">
        <color indexed="64"/>
      </top>
      <bottom style="thin">
        <color theme="0" tint="-0.24994659260841701"/>
      </bottom>
      <diagonal/>
    </border>
    <border>
      <left style="thin">
        <color theme="0" tint="-0.14990691854609822"/>
      </left>
      <right style="thin">
        <color theme="0" tint="-0.24994659260841701"/>
      </right>
      <top style="thin">
        <color theme="0" tint="-0.24994659260841701"/>
      </top>
      <bottom style="medium">
        <color indexed="64"/>
      </bottom>
      <diagonal/>
    </border>
    <border>
      <left style="thin">
        <color rgb="FF7F7F7F"/>
      </left>
      <right style="thin">
        <color rgb="FF7F7F7F"/>
      </right>
      <top style="thin">
        <color rgb="FF7F7F7F"/>
      </top>
      <bottom style="thin">
        <color rgb="FF7F7F7F"/>
      </bottom>
      <diagonal/>
    </border>
    <border>
      <left style="thin">
        <color theme="0" tint="-0.14996795556505021"/>
      </left>
      <right style="thin">
        <color indexed="64"/>
      </right>
      <top style="thin">
        <color indexed="64"/>
      </top>
      <bottom style="thin">
        <color theme="4"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auto="1"/>
      </top>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style="thin">
        <color indexed="64"/>
      </right>
      <top style="thin">
        <color indexed="64"/>
      </top>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style="thin">
        <color indexed="22"/>
      </right>
      <top/>
      <bottom style="thin">
        <color indexed="22"/>
      </bottom>
      <diagonal/>
    </border>
    <border>
      <left style="thin">
        <color theme="0" tint="-0.14996795556505021"/>
      </left>
      <right style="thin">
        <color theme="0" tint="-0.14996795556505021"/>
      </right>
      <top style="thin">
        <color theme="0" tint="-0.14996795556505021"/>
      </top>
      <bottom/>
      <diagonal/>
    </border>
    <border>
      <left/>
      <right style="thin">
        <color indexed="22"/>
      </right>
      <top style="thin">
        <color theme="0" tint="-0.24994659260841701"/>
      </top>
      <bottom/>
      <diagonal/>
    </border>
    <border>
      <left/>
      <right style="thin">
        <color indexed="22"/>
      </right>
      <top style="medium">
        <color indexed="64"/>
      </top>
      <bottom/>
      <diagonal/>
    </border>
    <border>
      <left style="medium">
        <color indexed="64"/>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right/>
      <top style="thin">
        <color theme="0" tint="-0.14996795556505021"/>
      </top>
      <bottom style="thin">
        <color theme="0" tint="-0.14993743705557422"/>
      </bottom>
      <diagonal/>
    </border>
    <border>
      <left style="medium">
        <color indexed="64"/>
      </left>
      <right/>
      <top style="medium">
        <color indexed="64"/>
      </top>
      <bottom/>
      <diagonal/>
    </border>
    <border>
      <left style="thin">
        <color theme="0" tint="-0.14996795556505021"/>
      </left>
      <right/>
      <top style="thin">
        <color theme="0" tint="-0.24994659260841701"/>
      </top>
      <bottom/>
      <diagonal/>
    </border>
    <border>
      <left style="thin">
        <color theme="0" tint="-0.14993743705557422"/>
      </left>
      <right/>
      <top style="thin">
        <color theme="0" tint="-0.24994659260841701"/>
      </top>
      <bottom/>
      <diagonal/>
    </border>
    <border>
      <left style="thin">
        <color theme="0" tint="-0.14993743705557422"/>
      </left>
      <right style="thin">
        <color theme="0" tint="-0.14990691854609822"/>
      </right>
      <top style="thin">
        <color theme="0" tint="-0.24994659260841701"/>
      </top>
      <bottom/>
      <diagonal/>
    </border>
    <border>
      <left style="thin">
        <color theme="0" tint="-0.14990691854609822"/>
      </left>
      <right style="thin">
        <color theme="0" tint="-0.14993743705557422"/>
      </right>
      <top style="thin">
        <color theme="0" tint="-0.24994659260841701"/>
      </top>
      <bottom/>
      <diagonal/>
    </border>
    <border>
      <left style="thin">
        <color theme="0" tint="-0.14993743705557422"/>
      </left>
      <right style="medium">
        <color indexed="64"/>
      </right>
      <top style="thin">
        <color theme="0" tint="-0.24994659260841701"/>
      </top>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0691854609822"/>
      </right>
      <top style="medium">
        <color indexed="64"/>
      </top>
      <bottom/>
      <diagonal/>
    </border>
    <border>
      <left style="thin">
        <color theme="0" tint="-0.14993743705557422"/>
      </left>
      <right style="thin">
        <color theme="0" tint="-0.14990691854609822"/>
      </right>
      <top/>
      <bottom style="thin">
        <color theme="0" tint="-0.24994659260841701"/>
      </bottom>
      <diagonal/>
    </border>
  </borders>
  <cellStyleXfs count="67">
    <xf numFmtId="0" fontId="0" fillId="0" borderId="0"/>
    <xf numFmtId="0" fontId="3" fillId="0" borderId="0"/>
    <xf numFmtId="0" fontId="87" fillId="34" borderId="0" applyNumberFormat="0" applyBorder="0" applyAlignment="0" applyProtection="0"/>
    <xf numFmtId="0" fontId="87" fillId="35" borderId="0" applyNumberFormat="0" applyBorder="0" applyAlignment="0" applyProtection="0"/>
    <xf numFmtId="0" fontId="88"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38" borderId="0" applyNumberFormat="0" applyBorder="0" applyAlignment="0" applyProtection="0"/>
    <xf numFmtId="0" fontId="87" fillId="41" borderId="0" applyNumberFormat="0" applyBorder="0" applyAlignment="0" applyProtection="0"/>
    <xf numFmtId="0" fontId="87" fillId="44" borderId="0" applyNumberFormat="0" applyBorder="0" applyAlignment="0" applyProtection="0"/>
    <xf numFmtId="0" fontId="89" fillId="45"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52" borderId="0" applyNumberFormat="0" applyBorder="0" applyAlignment="0" applyProtection="0"/>
    <xf numFmtId="0" fontId="90" fillId="35" borderId="0" applyNumberFormat="0" applyBorder="0" applyAlignment="0" applyProtection="0"/>
    <xf numFmtId="0" fontId="91" fillId="33" borderId="571" applyNumberFormat="0" applyAlignment="0" applyProtection="0"/>
    <xf numFmtId="0" fontId="92" fillId="53" borderId="573" applyNumberFormat="0" applyAlignment="0" applyProtection="0"/>
    <xf numFmtId="0" fontId="93" fillId="54" borderId="574"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4" fillId="0" borderId="0" applyNumberFormat="0" applyFill="0" applyBorder="0" applyAlignment="0" applyProtection="0"/>
    <xf numFmtId="0" fontId="95" fillId="37" borderId="0" applyNumberFormat="0" applyBorder="0" applyAlignment="0" applyProtection="0"/>
    <xf numFmtId="0" fontId="96" fillId="0" borderId="575" applyNumberFormat="0" applyFill="0" applyAlignment="0" applyProtection="0"/>
    <xf numFmtId="0" fontId="97" fillId="0" borderId="576" applyNumberFormat="0" applyFill="0" applyAlignment="0" applyProtection="0"/>
    <xf numFmtId="0" fontId="98" fillId="0" borderId="577"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alignment vertical="top"/>
      <protection locked="0"/>
    </xf>
    <xf numFmtId="0" fontId="100" fillId="32" borderId="571" applyNumberFormat="0" applyAlignment="0" applyProtection="0"/>
    <xf numFmtId="0" fontId="101" fillId="40" borderId="573" applyNumberFormat="0" applyAlignment="0" applyProtection="0"/>
    <xf numFmtId="0" fontId="102" fillId="0" borderId="578" applyNumberFormat="0" applyFill="0" applyAlignment="0" applyProtection="0"/>
    <xf numFmtId="0" fontId="103" fillId="55" borderId="0" applyNumberFormat="0" applyBorder="0" applyAlignment="0" applyProtection="0"/>
    <xf numFmtId="0" fontId="4" fillId="0" borderId="0"/>
    <xf numFmtId="0" fontId="104" fillId="0" borderId="0"/>
    <xf numFmtId="0" fontId="3" fillId="0" borderId="0"/>
    <xf numFmtId="0" fontId="1" fillId="0" borderId="0"/>
    <xf numFmtId="0" fontId="1" fillId="0" borderId="0"/>
    <xf numFmtId="0" fontId="3" fillId="0" borderId="0"/>
    <xf numFmtId="0" fontId="4"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56" borderId="74" applyNumberFormat="0" applyFont="0" applyAlignment="0" applyProtection="0"/>
    <xf numFmtId="0" fontId="105" fillId="53" borderId="57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6" fillId="0" borderId="0" applyNumberFormat="0" applyFill="0" applyBorder="0" applyAlignment="0" applyProtection="0"/>
    <xf numFmtId="0" fontId="107" fillId="0" borderId="580" applyNumberFormat="0" applyFill="0" applyAlignment="0" applyProtection="0"/>
    <xf numFmtId="0" fontId="108" fillId="0" borderId="0" applyNumberFormat="0" applyFill="0" applyBorder="0" applyAlignment="0" applyProtection="0"/>
  </cellStyleXfs>
  <cellXfs count="2654">
    <xf numFmtId="0" fontId="0" fillId="0" borderId="0" xfId="0"/>
    <xf numFmtId="0" fontId="3" fillId="3" borderId="103" xfId="0" applyFont="1" applyFill="1" applyBorder="1" applyAlignment="1" applyProtection="1">
      <protection locked="0"/>
    </xf>
    <xf numFmtId="0" fontId="3" fillId="3" borderId="100" xfId="0" applyFont="1" applyFill="1" applyBorder="1" applyAlignment="1" applyProtection="1">
      <protection locked="0"/>
    </xf>
    <xf numFmtId="44" fontId="3" fillId="3" borderId="95" xfId="0" applyNumberFormat="1" applyFont="1" applyFill="1" applyBorder="1" applyAlignment="1" applyProtection="1">
      <protection locked="0"/>
    </xf>
    <xf numFmtId="0" fontId="3" fillId="3" borderId="33" xfId="0" applyFont="1" applyFill="1" applyBorder="1" applyProtection="1"/>
    <xf numFmtId="0" fontId="3"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3" fillId="0" borderId="33" xfId="0" applyFont="1" applyBorder="1" applyAlignment="1" applyProtection="1">
      <alignment vertical="center"/>
    </xf>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67" xfId="0" applyFont="1" applyFill="1" applyBorder="1" applyAlignment="1" applyProtection="1">
      <alignment vertical="center" wrapText="1"/>
      <protection locked="0"/>
    </xf>
    <xf numFmtId="0" fontId="5" fillId="0" borderId="67" xfId="0" applyFont="1" applyBorder="1" applyAlignment="1" applyProtection="1">
      <alignment vertical="center" wrapText="1"/>
      <protection locked="0"/>
    </xf>
    <xf numFmtId="0" fontId="3" fillId="0" borderId="67" xfId="0" applyFont="1" applyBorder="1" applyAlignment="1" applyProtection="1">
      <alignment vertical="center" wrapText="1"/>
      <protection locked="0"/>
    </xf>
    <xf numFmtId="0" fontId="3" fillId="0" borderId="67" xfId="0" applyFont="1" applyFill="1" applyBorder="1" applyAlignment="1" applyProtection="1">
      <alignment vertical="center"/>
      <protection locked="0"/>
    </xf>
    <xf numFmtId="0" fontId="3" fillId="0" borderId="67" xfId="0" applyFont="1" applyBorder="1" applyAlignment="1" applyProtection="1">
      <alignment vertical="center"/>
      <protection locked="0"/>
    </xf>
    <xf numFmtId="0" fontId="3" fillId="0" borderId="70" xfId="0" applyFont="1" applyBorder="1" applyAlignment="1" applyProtection="1">
      <alignment vertical="center" wrapText="1"/>
      <protection locked="0"/>
    </xf>
    <xf numFmtId="0" fontId="5" fillId="0" borderId="177" xfId="0" applyFont="1" applyBorder="1" applyAlignment="1" applyProtection="1">
      <alignment vertical="center" wrapText="1"/>
      <protection locked="0"/>
    </xf>
    <xf numFmtId="0" fontId="3" fillId="0" borderId="104" xfId="0" applyFont="1" applyBorder="1" applyAlignment="1" applyProtection="1">
      <alignment vertical="center"/>
      <protection locked="0"/>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04" xfId="0" applyFont="1" applyFill="1" applyBorder="1" applyAlignment="1" applyProtection="1">
      <alignment vertical="center"/>
      <protection locked="0"/>
    </xf>
    <xf numFmtId="0" fontId="3" fillId="0" borderId="105" xfId="0" applyFont="1" applyFill="1" applyBorder="1" applyAlignment="1" applyProtection="1">
      <alignment vertical="center" wrapText="1"/>
      <protection locked="0"/>
    </xf>
    <xf numFmtId="0" fontId="3" fillId="0" borderId="133" xfId="0" applyFont="1" applyFill="1" applyBorder="1" applyAlignment="1" applyProtection="1">
      <alignment vertical="center"/>
      <protection locked="0"/>
    </xf>
    <xf numFmtId="0" fontId="3" fillId="0" borderId="106" xfId="0" applyFont="1" applyBorder="1" applyAlignment="1" applyProtection="1">
      <alignment vertical="center"/>
      <protection locked="0"/>
    </xf>
    <xf numFmtId="0" fontId="3" fillId="0" borderId="105" xfId="0" applyFont="1" applyFill="1" applyBorder="1" applyAlignment="1" applyProtection="1">
      <alignment vertical="center"/>
      <protection locked="0"/>
    </xf>
    <xf numFmtId="0" fontId="3" fillId="0" borderId="160" xfId="0" applyFont="1" applyFill="1" applyBorder="1" applyAlignment="1" applyProtection="1">
      <alignment vertical="center"/>
      <protection locked="0"/>
    </xf>
    <xf numFmtId="0" fontId="3" fillId="0" borderId="212" xfId="0" applyFont="1" applyFill="1" applyBorder="1" applyAlignment="1" applyProtection="1">
      <alignment vertical="center"/>
    </xf>
    <xf numFmtId="0" fontId="3" fillId="0" borderId="213" xfId="0" applyFont="1" applyFill="1" applyBorder="1" applyAlignment="1" applyProtection="1">
      <alignment vertical="center"/>
    </xf>
    <xf numFmtId="0" fontId="3" fillId="0" borderId="236" xfId="0" applyFont="1" applyBorder="1" applyAlignment="1" applyProtection="1">
      <alignment vertical="center"/>
      <protection locked="0"/>
    </xf>
    <xf numFmtId="0" fontId="3" fillId="0" borderId="214" xfId="0" applyFont="1" applyFill="1" applyBorder="1" applyAlignment="1" applyProtection="1">
      <alignment vertical="center"/>
    </xf>
    <xf numFmtId="0" fontId="3" fillId="0" borderId="215" xfId="0" applyFont="1" applyBorder="1" applyAlignment="1" applyProtection="1">
      <alignment vertical="center"/>
    </xf>
    <xf numFmtId="0" fontId="3" fillId="0" borderId="216" xfId="0" applyFont="1" applyBorder="1" applyAlignment="1" applyProtection="1">
      <alignment vertical="center"/>
    </xf>
    <xf numFmtId="0" fontId="3" fillId="0" borderId="168" xfId="0" applyFont="1" applyBorder="1" applyAlignment="1" applyProtection="1">
      <alignment vertical="center"/>
    </xf>
    <xf numFmtId="0" fontId="3" fillId="0" borderId="217" xfId="0" applyFont="1" applyBorder="1" applyAlignment="1" applyProtection="1">
      <alignment vertical="center"/>
    </xf>
    <xf numFmtId="0" fontId="29" fillId="0" borderId="0" xfId="0" applyFont="1" applyFill="1" applyBorder="1" applyAlignment="1" applyProtection="1">
      <alignment horizontal="center" vertical="center" wrapText="1"/>
    </xf>
    <xf numFmtId="42" fontId="25" fillId="0" borderId="0" xfId="0" applyNumberFormat="1" applyFont="1" applyFill="1" applyBorder="1" applyAlignment="1" applyProtection="1">
      <alignment vertical="center"/>
    </xf>
    <xf numFmtId="0" fontId="17" fillId="0" borderId="0" xfId="0" applyFont="1" applyFill="1" applyBorder="1" applyProtection="1"/>
    <xf numFmtId="0" fontId="28" fillId="0" borderId="0" xfId="0" applyFont="1" applyFill="1" applyBorder="1" applyAlignment="1" applyProtection="1"/>
    <xf numFmtId="42" fontId="18" fillId="0" borderId="0" xfId="0" applyNumberFormat="1" applyFont="1" applyFill="1" applyBorder="1" applyProtection="1"/>
    <xf numFmtId="42" fontId="25" fillId="0" borderId="0" xfId="0" applyNumberFormat="1" applyFont="1" applyBorder="1" applyAlignment="1" applyProtection="1">
      <alignment vertical="center"/>
    </xf>
    <xf numFmtId="42" fontId="25" fillId="6" borderId="110" xfId="0" applyNumberFormat="1" applyFont="1" applyFill="1" applyBorder="1" applyAlignment="1" applyProtection="1">
      <alignment vertical="center"/>
    </xf>
    <xf numFmtId="42" fontId="25" fillId="0" borderId="104" xfId="0" applyNumberFormat="1" applyFont="1" applyFill="1" applyBorder="1" applyAlignment="1" applyProtection="1">
      <alignment vertical="center" wrapText="1"/>
      <protection locked="0"/>
    </xf>
    <xf numFmtId="42" fontId="25" fillId="0" borderId="236" xfId="0" applyNumberFormat="1" applyFont="1" applyFill="1" applyBorder="1" applyAlignment="1" applyProtection="1">
      <alignment vertical="center"/>
      <protection locked="0"/>
    </xf>
    <xf numFmtId="42" fontId="25" fillId="0" borderId="104" xfId="0" applyNumberFormat="1" applyFont="1" applyFill="1" applyBorder="1" applyAlignment="1" applyProtection="1">
      <alignment vertical="center"/>
      <protection locked="0"/>
    </xf>
    <xf numFmtId="42" fontId="25" fillId="0" borderId="67" xfId="0" applyNumberFormat="1" applyFont="1" applyFill="1" applyBorder="1" applyAlignment="1" applyProtection="1">
      <alignment vertical="center" wrapText="1"/>
      <protection locked="0"/>
    </xf>
    <xf numFmtId="42" fontId="25" fillId="0" borderId="234" xfId="0" applyNumberFormat="1" applyFont="1" applyFill="1" applyBorder="1" applyAlignment="1" applyProtection="1">
      <alignment vertical="center"/>
      <protection locked="0"/>
    </xf>
    <xf numFmtId="42" fontId="25" fillId="0" borderId="124" xfId="0" applyNumberFormat="1" applyFont="1" applyFill="1" applyBorder="1" applyAlignment="1" applyProtection="1">
      <alignment vertical="center"/>
      <protection locked="0"/>
    </xf>
    <xf numFmtId="42" fontId="25" fillId="0" borderId="124" xfId="0" applyNumberFormat="1" applyFont="1" applyFill="1" applyBorder="1" applyAlignment="1" applyProtection="1">
      <alignment vertical="center" wrapText="1"/>
      <protection locked="0"/>
    </xf>
    <xf numFmtId="42" fontId="25" fillId="0" borderId="76" xfId="0" applyNumberFormat="1" applyFont="1" applyFill="1" applyBorder="1" applyAlignment="1" applyProtection="1">
      <alignment vertical="center"/>
      <protection locked="0"/>
    </xf>
    <xf numFmtId="42" fontId="25" fillId="0" borderId="123" xfId="0" applyNumberFormat="1" applyFont="1" applyFill="1" applyBorder="1" applyAlignment="1" applyProtection="1">
      <alignment vertical="center" wrapText="1"/>
      <protection locked="0"/>
    </xf>
    <xf numFmtId="42" fontId="25" fillId="0" borderId="232" xfId="0" applyNumberFormat="1" applyFont="1" applyFill="1" applyBorder="1" applyAlignment="1" applyProtection="1">
      <alignment vertical="center"/>
      <protection locked="0"/>
    </xf>
    <xf numFmtId="42" fontId="25" fillId="0" borderId="67" xfId="0" applyNumberFormat="1" applyFont="1" applyFill="1" applyBorder="1" applyAlignment="1" applyProtection="1">
      <alignment vertical="center"/>
      <protection locked="0"/>
    </xf>
    <xf numFmtId="42" fontId="25" fillId="12" borderId="237" xfId="0" applyNumberFormat="1" applyFont="1" applyFill="1" applyBorder="1" applyAlignment="1" applyProtection="1">
      <alignment vertical="center"/>
    </xf>
    <xf numFmtId="42" fontId="25" fillId="12" borderId="238" xfId="0" applyNumberFormat="1" applyFont="1" applyFill="1" applyBorder="1" applyAlignment="1" applyProtection="1">
      <alignment vertical="center"/>
    </xf>
    <xf numFmtId="42" fontId="25" fillId="12" borderId="230" xfId="0" applyNumberFormat="1" applyFont="1" applyFill="1" applyBorder="1" applyAlignment="1" applyProtection="1">
      <alignment vertical="center"/>
    </xf>
    <xf numFmtId="42" fontId="25" fillId="6" borderId="112" xfId="0" applyNumberFormat="1" applyFont="1" applyFill="1" applyBorder="1" applyAlignment="1" applyProtection="1">
      <alignment vertical="center"/>
    </xf>
    <xf numFmtId="42" fontId="25" fillId="12" borderId="110" xfId="0" applyNumberFormat="1" applyFont="1" applyFill="1" applyBorder="1" applyAlignment="1" applyProtection="1">
      <alignment vertical="center"/>
    </xf>
    <xf numFmtId="42" fontId="25" fillId="6" borderId="111" xfId="0" applyNumberFormat="1" applyFont="1" applyFill="1" applyBorder="1" applyAlignment="1" applyProtection="1">
      <alignment vertical="center"/>
    </xf>
    <xf numFmtId="42" fontId="25" fillId="6" borderId="54" xfId="0" applyNumberFormat="1" applyFont="1" applyFill="1" applyBorder="1" applyAlignment="1" applyProtection="1">
      <alignment vertical="center"/>
    </xf>
    <xf numFmtId="42" fontId="25" fillId="6" borderId="109" xfId="0" applyNumberFormat="1" applyFont="1" applyFill="1" applyBorder="1" applyAlignment="1" applyProtection="1">
      <alignment vertical="center"/>
    </xf>
    <xf numFmtId="42" fontId="25" fillId="6" borderId="221" xfId="0" applyNumberFormat="1" applyFont="1" applyFill="1" applyBorder="1" applyAlignment="1" applyProtection="1">
      <alignment vertical="center"/>
    </xf>
    <xf numFmtId="42" fontId="25" fillId="0" borderId="222" xfId="0" applyNumberFormat="1" applyFont="1" applyFill="1" applyBorder="1" applyAlignment="1" applyProtection="1">
      <alignment vertical="center"/>
      <protection locked="0"/>
    </xf>
    <xf numFmtId="42" fontId="25" fillId="0" borderId="238" xfId="0" applyNumberFormat="1" applyFont="1" applyFill="1" applyBorder="1" applyAlignment="1" applyProtection="1">
      <alignment vertical="center"/>
      <protection locked="0"/>
    </xf>
    <xf numFmtId="42" fontId="25" fillId="0" borderId="62" xfId="0" applyNumberFormat="1" applyFont="1" applyFill="1" applyBorder="1" applyAlignment="1" applyProtection="1">
      <alignment vertical="center"/>
      <protection locked="0"/>
    </xf>
    <xf numFmtId="42" fontId="25" fillId="0" borderId="121" xfId="0" applyNumberFormat="1" applyFont="1" applyFill="1" applyBorder="1" applyAlignment="1" applyProtection="1">
      <alignment vertical="center"/>
      <protection locked="0"/>
    </xf>
    <xf numFmtId="42" fontId="25" fillId="0" borderId="64" xfId="0" applyNumberFormat="1" applyFont="1" applyFill="1" applyBorder="1" applyAlignment="1" applyProtection="1">
      <alignment vertical="center" wrapText="1"/>
      <protection locked="0"/>
    </xf>
    <xf numFmtId="42" fontId="25" fillId="0" borderId="135" xfId="0" applyNumberFormat="1" applyFont="1" applyFill="1" applyBorder="1" applyAlignment="1" applyProtection="1">
      <alignment vertical="center" wrapText="1"/>
      <protection locked="0"/>
    </xf>
    <xf numFmtId="42" fontId="25" fillId="6" borderId="86" xfId="0" applyNumberFormat="1" applyFont="1" applyFill="1" applyBorder="1" applyAlignment="1" applyProtection="1">
      <alignment vertical="center"/>
    </xf>
    <xf numFmtId="42" fontId="25" fillId="6" borderId="125" xfId="0" applyNumberFormat="1" applyFont="1" applyFill="1" applyBorder="1" applyAlignment="1" applyProtection="1">
      <alignment vertical="center"/>
    </xf>
    <xf numFmtId="42" fontId="25" fillId="0" borderId="121" xfId="0" applyNumberFormat="1" applyFont="1" applyFill="1" applyBorder="1" applyAlignment="1" applyProtection="1">
      <alignment vertical="center" wrapText="1"/>
      <protection locked="0"/>
    </xf>
    <xf numFmtId="42" fontId="25" fillId="0" borderId="135" xfId="0" applyNumberFormat="1" applyFont="1" applyFill="1" applyBorder="1" applyAlignment="1" applyProtection="1">
      <alignment vertical="center"/>
      <protection locked="0"/>
    </xf>
    <xf numFmtId="42" fontId="25" fillId="12" borderId="86" xfId="0" applyNumberFormat="1" applyFont="1" applyFill="1" applyBorder="1" applyAlignment="1" applyProtection="1">
      <alignment vertical="center"/>
    </xf>
    <xf numFmtId="42" fontId="25" fillId="12" borderId="125" xfId="0" applyNumberFormat="1" applyFont="1" applyFill="1" applyBorder="1" applyAlignment="1" applyProtection="1">
      <alignment vertical="center"/>
    </xf>
    <xf numFmtId="42" fontId="25" fillId="12" borderId="228" xfId="0" applyNumberFormat="1" applyFont="1" applyFill="1" applyBorder="1" applyAlignment="1" applyProtection="1">
      <alignment vertical="center"/>
    </xf>
    <xf numFmtId="42" fontId="25" fillId="0" borderId="137" xfId="0" applyNumberFormat="1" applyFont="1" applyFill="1" applyBorder="1" applyAlignment="1" applyProtection="1">
      <alignment vertical="center"/>
      <protection locked="0"/>
    </xf>
    <xf numFmtId="42" fontId="25" fillId="0" borderId="137" xfId="0" applyNumberFormat="1" applyFont="1" applyFill="1" applyBorder="1" applyAlignment="1" applyProtection="1">
      <alignment vertical="center" wrapText="1"/>
      <protection locked="0"/>
    </xf>
    <xf numFmtId="42" fontId="25" fillId="19" borderId="114" xfId="0" applyNumberFormat="1" applyFont="1" applyFill="1" applyBorder="1" applyAlignment="1" applyProtection="1">
      <alignment vertical="center"/>
    </xf>
    <xf numFmtId="42" fontId="25" fillId="19" borderId="239" xfId="0" applyNumberFormat="1" applyFont="1" applyFill="1" applyBorder="1" applyAlignment="1" applyProtection="1">
      <alignment vertical="center"/>
    </xf>
    <xf numFmtId="0" fontId="28" fillId="0" borderId="168" xfId="0" applyFont="1" applyFill="1" applyBorder="1" applyAlignment="1" applyProtection="1"/>
    <xf numFmtId="0" fontId="28" fillId="0" borderId="169" xfId="0" applyFont="1" applyFill="1" applyBorder="1" applyAlignment="1" applyProtection="1"/>
    <xf numFmtId="5" fontId="27" fillId="0" borderId="165" xfId="0" applyNumberFormat="1" applyFont="1" applyFill="1" applyBorder="1" applyAlignment="1" applyProtection="1">
      <alignment vertical="center"/>
    </xf>
    <xf numFmtId="42" fontId="25" fillId="0" borderId="245" xfId="0" applyNumberFormat="1" applyFont="1" applyFill="1" applyBorder="1" applyAlignment="1" applyProtection="1">
      <alignment vertical="center"/>
    </xf>
    <xf numFmtId="5" fontId="32" fillId="0" borderId="165" xfId="0" applyNumberFormat="1" applyFont="1" applyFill="1" applyBorder="1" applyAlignment="1" applyProtection="1">
      <alignment vertical="center"/>
    </xf>
    <xf numFmtId="5" fontId="29" fillId="0" borderId="165" xfId="0" applyNumberFormat="1" applyFont="1" applyFill="1" applyBorder="1" applyAlignment="1" applyProtection="1">
      <alignment vertical="center"/>
    </xf>
    <xf numFmtId="42" fontId="25" fillId="0" borderId="165" xfId="0" applyNumberFormat="1" applyFont="1" applyFill="1" applyBorder="1" applyAlignment="1" applyProtection="1">
      <alignment vertical="center"/>
    </xf>
    <xf numFmtId="0" fontId="28" fillId="0" borderId="171" xfId="0" applyFont="1" applyFill="1" applyBorder="1" applyAlignment="1" applyProtection="1"/>
    <xf numFmtId="5" fontId="32" fillId="10" borderId="227" xfId="0" applyNumberFormat="1" applyFont="1" applyFill="1" applyBorder="1" applyAlignment="1" applyProtection="1">
      <alignment vertical="center"/>
    </xf>
    <xf numFmtId="0" fontId="32" fillId="10" borderId="206" xfId="0" applyFont="1" applyFill="1" applyBorder="1" applyProtection="1"/>
    <xf numFmtId="42" fontId="25" fillId="19" borderId="230" xfId="0" applyNumberFormat="1" applyFont="1" applyFill="1" applyBorder="1" applyAlignment="1" applyProtection="1">
      <alignment vertical="center"/>
    </xf>
    <xf numFmtId="42" fontId="25" fillId="19" borderId="86" xfId="0" applyNumberFormat="1" applyFont="1" applyFill="1" applyBorder="1" applyAlignment="1" applyProtection="1">
      <alignment vertical="center"/>
    </xf>
    <xf numFmtId="42" fontId="25" fillId="19" borderId="125" xfId="0" applyNumberFormat="1" applyFont="1" applyFill="1" applyBorder="1" applyAlignment="1" applyProtection="1">
      <alignment vertical="center"/>
    </xf>
    <xf numFmtId="42" fontId="25" fillId="19" borderId="240" xfId="0" applyNumberFormat="1" applyFont="1" applyFill="1" applyBorder="1" applyAlignment="1" applyProtection="1">
      <alignment vertical="center"/>
    </xf>
    <xf numFmtId="42" fontId="25" fillId="19" borderId="122" xfId="0" applyNumberFormat="1" applyFont="1" applyFill="1" applyBorder="1" applyAlignment="1" applyProtection="1">
      <alignment vertical="center"/>
    </xf>
    <xf numFmtId="42" fontId="25" fillId="19" borderId="152" xfId="0" applyNumberFormat="1" applyFont="1" applyFill="1" applyBorder="1" applyAlignment="1" applyProtection="1">
      <alignment vertical="center"/>
    </xf>
    <xf numFmtId="42" fontId="25" fillId="19" borderId="210" xfId="0" applyNumberFormat="1" applyFont="1" applyFill="1" applyBorder="1" applyAlignment="1" applyProtection="1">
      <alignment vertical="center"/>
    </xf>
    <xf numFmtId="5" fontId="13" fillId="0" borderId="35" xfId="0" applyNumberFormat="1" applyFont="1" applyFill="1" applyBorder="1" applyAlignment="1" applyProtection="1">
      <alignment vertical="center"/>
    </xf>
    <xf numFmtId="5" fontId="12" fillId="0" borderId="35" xfId="0" applyNumberFormat="1" applyFont="1" applyFill="1" applyBorder="1" applyAlignment="1" applyProtection="1">
      <alignment vertical="center"/>
    </xf>
    <xf numFmtId="44" fontId="25" fillId="0" borderId="0" xfId="0" applyNumberFormat="1" applyFont="1" applyFill="1" applyBorder="1" applyAlignment="1" applyProtection="1">
      <alignment vertical="center"/>
    </xf>
    <xf numFmtId="44" fontId="36" fillId="0" borderId="0" xfId="0" applyNumberFormat="1" applyFont="1" applyFill="1" applyBorder="1" applyAlignment="1" applyProtection="1">
      <alignment vertical="center"/>
    </xf>
    <xf numFmtId="44" fontId="25" fillId="0" borderId="35" xfId="0" applyNumberFormat="1" applyFont="1" applyFill="1" applyBorder="1" applyAlignment="1" applyProtection="1">
      <alignment vertical="center"/>
    </xf>
    <xf numFmtId="44" fontId="18" fillId="0" borderId="0" xfId="0" applyNumberFormat="1" applyFont="1" applyBorder="1" applyProtection="1"/>
    <xf numFmtId="0" fontId="13" fillId="5" borderId="0" xfId="0" applyFont="1" applyFill="1" applyBorder="1" applyAlignment="1" applyProtection="1">
      <alignment horizontal="center" wrapText="1"/>
    </xf>
    <xf numFmtId="44" fontId="25" fillId="6" borderId="81" xfId="0" applyNumberFormat="1" applyFont="1" applyFill="1" applyBorder="1" applyAlignment="1" applyProtection="1">
      <alignment vertical="center"/>
    </xf>
    <xf numFmtId="44" fontId="25" fillId="6" borderId="88"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7" fillId="0" borderId="0" xfId="0" applyFont="1" applyBorder="1" applyProtection="1"/>
    <xf numFmtId="3" fontId="27" fillId="0" borderId="0" xfId="0" applyNumberFormat="1" applyFont="1" applyFill="1" applyBorder="1" applyAlignment="1" applyProtection="1">
      <alignment vertical="center"/>
    </xf>
    <xf numFmtId="5" fontId="32"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0" fontId="27" fillId="0" borderId="0" xfId="0" applyFont="1" applyBorder="1" applyAlignment="1" applyProtection="1">
      <alignment vertical="center"/>
    </xf>
    <xf numFmtId="0" fontId="27"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164"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vertical="center"/>
    </xf>
    <xf numFmtId="165"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center" vertical="center"/>
    </xf>
    <xf numFmtId="5" fontId="27" fillId="0" borderId="35" xfId="0" applyNumberFormat="1" applyFont="1" applyFill="1" applyBorder="1" applyAlignment="1" applyProtection="1">
      <alignment vertical="center"/>
    </xf>
    <xf numFmtId="5" fontId="29" fillId="0" borderId="35" xfId="0" applyNumberFormat="1" applyFont="1" applyFill="1" applyBorder="1" applyAlignment="1" applyProtection="1">
      <alignment vertical="center"/>
    </xf>
    <xf numFmtId="164" fontId="27" fillId="0" borderId="0" xfId="0" applyNumberFormat="1" applyFont="1" applyFill="1" applyBorder="1" applyAlignment="1" applyProtection="1">
      <alignment horizontal="center" vertical="center"/>
    </xf>
    <xf numFmtId="5" fontId="32" fillId="0" borderId="12" xfId="0" applyNumberFormat="1" applyFont="1" applyFill="1" applyBorder="1" applyProtection="1"/>
    <xf numFmtId="5" fontId="29" fillId="0" borderId="12" xfId="0" applyNumberFormat="1" applyFont="1" applyFill="1" applyBorder="1" applyProtection="1"/>
    <xf numFmtId="0" fontId="29" fillId="0" borderId="12" xfId="0" applyNumberFormat="1" applyFont="1" applyFill="1" applyBorder="1" applyProtection="1"/>
    <xf numFmtId="0" fontId="34" fillId="0" borderId="0" xfId="0" applyFont="1" applyFill="1" applyBorder="1" applyProtection="1"/>
    <xf numFmtId="5" fontId="30" fillId="0" borderId="0" xfId="0" applyNumberFormat="1" applyFont="1" applyFill="1" applyBorder="1" applyAlignment="1" applyProtection="1">
      <alignment horizontal="center" vertical="center" wrapText="1"/>
    </xf>
    <xf numFmtId="5" fontId="34"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164" fontId="34" fillId="0" borderId="0" xfId="0" applyNumberFormat="1" applyFont="1" applyFill="1" applyBorder="1" applyAlignment="1" applyProtection="1">
      <alignment vertical="center"/>
    </xf>
    <xf numFmtId="0" fontId="27" fillId="0" borderId="0" xfId="0" applyFont="1" applyFill="1" applyBorder="1" applyProtection="1"/>
    <xf numFmtId="5" fontId="31" fillId="0" borderId="0" xfId="0" applyNumberFormat="1" applyFont="1" applyFill="1" applyBorder="1" applyAlignment="1" applyProtection="1">
      <alignment vertical="center"/>
    </xf>
    <xf numFmtId="3" fontId="27" fillId="0" borderId="0" xfId="0" applyNumberFormat="1" applyFont="1" applyBorder="1" applyProtection="1"/>
    <xf numFmtId="5" fontId="27" fillId="0" borderId="0" xfId="0" applyNumberFormat="1" applyFont="1" applyFill="1" applyBorder="1" applyProtection="1"/>
    <xf numFmtId="3" fontId="27" fillId="0" borderId="0" xfId="0" applyNumberFormat="1" applyFont="1" applyFill="1" applyBorder="1" applyProtection="1"/>
    <xf numFmtId="42" fontId="18" fillId="0" borderId="0" xfId="0" applyNumberFormat="1" applyFont="1" applyFill="1" applyBorder="1" applyAlignment="1" applyProtection="1">
      <alignment vertical="center"/>
    </xf>
    <xf numFmtId="42" fontId="22" fillId="0" borderId="0" xfId="0" applyNumberFormat="1" applyFont="1" applyFill="1" applyBorder="1" applyAlignment="1" applyProtection="1">
      <alignment vertical="center"/>
    </xf>
    <xf numFmtId="42" fontId="21" fillId="0" borderId="0" xfId="0" applyNumberFormat="1" applyFont="1" applyBorder="1" applyAlignment="1" applyProtection="1">
      <alignment vertical="center"/>
    </xf>
    <xf numFmtId="42" fontId="18" fillId="0" borderId="0" xfId="0" applyNumberFormat="1" applyFont="1" applyBorder="1" applyProtection="1"/>
    <xf numFmtId="42" fontId="18" fillId="0" borderId="0" xfId="0" applyNumberFormat="1" applyFont="1" applyBorder="1" applyAlignment="1" applyProtection="1">
      <alignment vertical="center"/>
    </xf>
    <xf numFmtId="5" fontId="32" fillId="0" borderId="12" xfId="0" applyNumberFormat="1" applyFont="1" applyFill="1" applyBorder="1" applyAlignment="1" applyProtection="1">
      <alignment vertical="center"/>
    </xf>
    <xf numFmtId="5" fontId="29" fillId="0" borderId="12" xfId="0" applyNumberFormat="1" applyFont="1" applyFill="1" applyBorder="1" applyAlignment="1" applyProtection="1">
      <alignment vertical="center"/>
    </xf>
    <xf numFmtId="5" fontId="27" fillId="0" borderId="12" xfId="0" applyNumberFormat="1" applyFont="1" applyFill="1" applyBorder="1" applyAlignment="1" applyProtection="1">
      <alignment vertical="center"/>
    </xf>
    <xf numFmtId="0" fontId="32" fillId="0" borderId="12" xfId="0" applyFont="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34" fillId="0" borderId="0" xfId="0" applyFont="1" applyFill="1" applyBorder="1" applyAlignment="1" applyProtection="1">
      <alignment horizontal="center" wrapText="1"/>
    </xf>
    <xf numFmtId="42" fontId="18" fillId="0" borderId="0" xfId="0" applyNumberFormat="1" applyFont="1" applyBorder="1" applyAlignment="1" applyProtection="1"/>
    <xf numFmtId="42" fontId="18" fillId="0" borderId="12" xfId="0" applyNumberFormat="1" applyFont="1" applyBorder="1" applyProtection="1"/>
    <xf numFmtId="5" fontId="35" fillId="0" borderId="0" xfId="0" applyNumberFormat="1" applyFont="1" applyFill="1" applyBorder="1" applyAlignment="1" applyProtection="1">
      <alignment horizontal="left" vertical="center"/>
    </xf>
    <xf numFmtId="0" fontId="35"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42" fontId="18" fillId="0" borderId="35" xfId="0" applyNumberFormat="1" applyFont="1" applyFill="1" applyBorder="1" applyAlignment="1" applyProtection="1">
      <alignment vertical="center"/>
    </xf>
    <xf numFmtId="42" fontId="18" fillId="0" borderId="121" xfId="0" applyNumberFormat="1" applyFont="1" applyFill="1" applyBorder="1" applyAlignment="1" applyProtection="1">
      <alignment vertical="center"/>
      <protection locked="0"/>
    </xf>
    <xf numFmtId="5" fontId="29"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left" vertical="center"/>
    </xf>
    <xf numFmtId="0" fontId="27" fillId="0" borderId="0" xfId="0" applyFont="1" applyBorder="1" applyAlignment="1" applyProtection="1">
      <alignment horizontal="left"/>
    </xf>
    <xf numFmtId="42" fontId="18" fillId="12" borderId="250" xfId="0" applyNumberFormat="1" applyFont="1" applyFill="1" applyBorder="1" applyAlignment="1" applyProtection="1">
      <alignment vertical="center"/>
    </xf>
    <xf numFmtId="42" fontId="18" fillId="12" borderId="17" xfId="0" applyNumberFormat="1" applyFont="1" applyFill="1" applyBorder="1" applyAlignment="1" applyProtection="1">
      <alignment vertical="center"/>
    </xf>
    <xf numFmtId="42" fontId="18" fillId="6" borderId="224" xfId="0" applyNumberFormat="1" applyFont="1" applyFill="1" applyBorder="1" applyAlignment="1" applyProtection="1">
      <alignment vertical="center"/>
    </xf>
    <xf numFmtId="42" fontId="18" fillId="0" borderId="238" xfId="0" applyNumberFormat="1" applyFont="1" applyFill="1" applyBorder="1" applyAlignment="1" applyProtection="1">
      <alignment vertical="center"/>
      <protection locked="0"/>
    </xf>
    <xf numFmtId="42" fontId="18" fillId="6" borderId="81" xfId="0" applyNumberFormat="1" applyFont="1" applyFill="1" applyBorder="1" applyAlignment="1" applyProtection="1">
      <alignment vertical="center"/>
    </xf>
    <xf numFmtId="42" fontId="18" fillId="6" borderId="246" xfId="0" applyNumberFormat="1" applyFont="1" applyFill="1" applyBorder="1" applyAlignment="1" applyProtection="1">
      <alignment vertical="center"/>
    </xf>
    <xf numFmtId="42" fontId="18" fillId="12" borderId="22" xfId="0" applyNumberFormat="1" applyFont="1" applyFill="1" applyBorder="1" applyAlignment="1" applyProtection="1">
      <alignment vertical="center"/>
    </xf>
    <xf numFmtId="42" fontId="18" fillId="0" borderId="244" xfId="0" applyNumberFormat="1" applyFont="1" applyFill="1" applyBorder="1" applyAlignment="1" applyProtection="1">
      <alignment vertical="center"/>
      <protection locked="0"/>
    </xf>
    <xf numFmtId="42" fontId="18" fillId="0" borderId="67" xfId="0" applyNumberFormat="1" applyFont="1" applyFill="1" applyBorder="1" applyAlignment="1" applyProtection="1">
      <alignment vertical="center"/>
      <protection locked="0"/>
    </xf>
    <xf numFmtId="42" fontId="18" fillId="0" borderId="67" xfId="0" applyNumberFormat="1" applyFont="1" applyFill="1" applyBorder="1" applyAlignment="1" applyProtection="1">
      <alignment vertical="center" wrapText="1"/>
      <protection locked="0"/>
    </xf>
    <xf numFmtId="42" fontId="18" fillId="12" borderId="151" xfId="0" applyNumberFormat="1" applyFont="1" applyFill="1" applyBorder="1" applyAlignment="1" applyProtection="1">
      <alignment vertical="center"/>
    </xf>
    <xf numFmtId="42" fontId="18" fillId="0" borderId="232" xfId="0" applyNumberFormat="1" applyFont="1" applyFill="1" applyBorder="1" applyAlignment="1" applyProtection="1">
      <alignment vertical="center"/>
      <protection locked="0"/>
    </xf>
    <xf numFmtId="42" fontId="18" fillId="12" borderId="249" xfId="0" applyNumberFormat="1" applyFont="1" applyFill="1" applyBorder="1" applyAlignment="1" applyProtection="1">
      <alignment vertical="center"/>
    </xf>
    <xf numFmtId="42" fontId="30" fillId="18" borderId="246" xfId="0" applyNumberFormat="1" applyFont="1" applyFill="1" applyBorder="1" applyAlignment="1" applyProtection="1">
      <alignment vertical="center"/>
    </xf>
    <xf numFmtId="42" fontId="34" fillId="18" borderId="223" xfId="0" applyNumberFormat="1" applyFont="1" applyFill="1" applyBorder="1" applyAlignment="1" applyProtection="1">
      <alignment vertical="center"/>
    </xf>
    <xf numFmtId="42" fontId="18" fillId="21" borderId="238" xfId="0" applyNumberFormat="1" applyFont="1" applyFill="1" applyBorder="1" applyAlignment="1" applyProtection="1">
      <alignment vertical="center"/>
    </xf>
    <xf numFmtId="42" fontId="18" fillId="20" borderId="243" xfId="0" applyNumberFormat="1" applyFont="1" applyFill="1" applyBorder="1" applyAlignment="1" applyProtection="1">
      <alignment vertical="center"/>
    </xf>
    <xf numFmtId="42" fontId="18" fillId="20" borderId="145" xfId="0" applyNumberFormat="1" applyFont="1" applyFill="1" applyBorder="1" applyAlignment="1" applyProtection="1">
      <alignment vertical="center"/>
    </xf>
    <xf numFmtId="42" fontId="18" fillId="20" borderId="87" xfId="0" applyNumberFormat="1" applyFont="1" applyFill="1" applyBorder="1" applyAlignment="1" applyProtection="1">
      <alignment vertical="center"/>
    </xf>
    <xf numFmtId="42" fontId="18" fillId="20" borderId="238" xfId="0" applyNumberFormat="1" applyFont="1" applyFill="1" applyBorder="1" applyAlignment="1" applyProtection="1">
      <alignment vertical="center"/>
    </xf>
    <xf numFmtId="42" fontId="18" fillId="20" borderId="231" xfId="0" applyNumberFormat="1" applyFont="1" applyFill="1" applyBorder="1" applyAlignment="1" applyProtection="1">
      <alignment vertical="center"/>
    </xf>
    <xf numFmtId="42" fontId="18" fillId="20" borderId="233" xfId="0" applyNumberFormat="1" applyFont="1" applyFill="1" applyBorder="1" applyAlignment="1" applyProtection="1">
      <alignment vertical="center"/>
    </xf>
    <xf numFmtId="42" fontId="18" fillId="20" borderId="227" xfId="0" applyNumberFormat="1" applyFont="1" applyFill="1" applyBorder="1" applyAlignment="1" applyProtection="1">
      <alignment vertical="center"/>
    </xf>
    <xf numFmtId="42" fontId="18" fillId="20" borderId="24" xfId="0" applyNumberFormat="1" applyFont="1" applyFill="1" applyBorder="1" applyAlignment="1" applyProtection="1">
      <alignment vertical="center"/>
    </xf>
    <xf numFmtId="42" fontId="18" fillId="20" borderId="3" xfId="0" applyNumberFormat="1" applyFont="1" applyFill="1" applyBorder="1" applyAlignment="1" applyProtection="1">
      <alignment vertical="center"/>
    </xf>
    <xf numFmtId="42" fontId="18" fillId="20" borderId="119" xfId="0" applyNumberFormat="1" applyFont="1" applyFill="1" applyBorder="1" applyAlignment="1" applyProtection="1">
      <alignment vertical="center"/>
    </xf>
    <xf numFmtId="42" fontId="18" fillId="20" borderId="99" xfId="0" applyNumberFormat="1" applyFont="1" applyFill="1" applyBorder="1" applyAlignment="1" applyProtection="1">
      <alignment vertical="center"/>
    </xf>
    <xf numFmtId="42" fontId="18" fillId="6" borderId="11" xfId="0" applyNumberFormat="1" applyFont="1" applyFill="1" applyBorder="1" applyAlignment="1" applyProtection="1">
      <alignment vertical="center"/>
    </xf>
    <xf numFmtId="42" fontId="18" fillId="6" borderId="136" xfId="0" applyNumberFormat="1" applyFont="1" applyFill="1" applyBorder="1" applyAlignment="1" applyProtection="1">
      <alignment vertical="center"/>
    </xf>
    <xf numFmtId="42" fontId="18" fillId="0" borderId="135" xfId="0" applyNumberFormat="1" applyFont="1" applyFill="1" applyBorder="1" applyAlignment="1" applyProtection="1">
      <alignment vertical="center" wrapText="1"/>
      <protection locked="0"/>
    </xf>
    <xf numFmtId="42" fontId="18" fillId="20" borderId="10" xfId="0" applyNumberFormat="1" applyFont="1" applyFill="1" applyBorder="1" applyAlignment="1" applyProtection="1">
      <alignment vertical="center"/>
    </xf>
    <xf numFmtId="42" fontId="18" fillId="0" borderId="135" xfId="0" applyNumberFormat="1" applyFont="1" applyFill="1" applyBorder="1" applyAlignment="1" applyProtection="1">
      <alignment vertical="center"/>
      <protection locked="0"/>
    </xf>
    <xf numFmtId="42" fontId="18" fillId="0" borderId="137" xfId="0" applyNumberFormat="1" applyFont="1" applyBorder="1" applyAlignment="1" applyProtection="1">
      <alignment vertical="center" wrapText="1"/>
      <protection locked="0"/>
    </xf>
    <xf numFmtId="42" fontId="18" fillId="0" borderId="137" xfId="0" applyNumberFormat="1" applyFont="1" applyFill="1" applyBorder="1" applyAlignment="1" applyProtection="1">
      <alignment vertical="center" wrapText="1"/>
      <protection locked="0"/>
    </xf>
    <xf numFmtId="42" fontId="18" fillId="20" borderId="15" xfId="0" applyNumberFormat="1" applyFont="1" applyFill="1" applyBorder="1" applyAlignment="1" applyProtection="1">
      <alignment vertical="center"/>
    </xf>
    <xf numFmtId="42" fontId="18" fillId="20" borderId="28" xfId="0" applyNumberFormat="1" applyFont="1" applyFill="1" applyBorder="1" applyAlignment="1" applyProtection="1">
      <alignment vertical="center"/>
    </xf>
    <xf numFmtId="42" fontId="18" fillId="20" borderId="135" xfId="0" applyNumberFormat="1" applyFont="1" applyFill="1" applyBorder="1" applyAlignment="1" applyProtection="1">
      <alignment vertical="center"/>
    </xf>
    <xf numFmtId="42" fontId="18" fillId="20" borderId="159" xfId="0" applyNumberFormat="1" applyFont="1" applyFill="1" applyBorder="1" applyAlignment="1" applyProtection="1">
      <alignment vertical="center"/>
    </xf>
    <xf numFmtId="5" fontId="32" fillId="0" borderId="127" xfId="0" applyNumberFormat="1" applyFont="1" applyFill="1" applyBorder="1" applyAlignment="1" applyProtection="1">
      <alignment vertical="center"/>
    </xf>
    <xf numFmtId="5" fontId="29" fillId="0" borderId="127" xfId="0" applyNumberFormat="1" applyFont="1" applyFill="1" applyBorder="1" applyAlignment="1" applyProtection="1">
      <alignment vertical="center"/>
    </xf>
    <xf numFmtId="5" fontId="27" fillId="0" borderId="127" xfId="0" applyNumberFormat="1" applyFont="1" applyFill="1" applyBorder="1" applyAlignment="1" applyProtection="1">
      <alignment vertical="center"/>
    </xf>
    <xf numFmtId="42" fontId="18" fillId="0" borderId="127" xfId="0" applyNumberFormat="1" applyFont="1" applyFill="1" applyBorder="1" applyAlignment="1" applyProtection="1">
      <alignment vertical="center"/>
    </xf>
    <xf numFmtId="5" fontId="27" fillId="5" borderId="35" xfId="0" applyNumberFormat="1" applyFont="1" applyFill="1" applyBorder="1" applyAlignment="1" applyProtection="1">
      <alignment vertical="center"/>
    </xf>
    <xf numFmtId="3" fontId="27" fillId="5" borderId="35" xfId="0" applyNumberFormat="1" applyFont="1" applyFill="1" applyBorder="1" applyAlignment="1" applyProtection="1">
      <alignment vertical="center"/>
    </xf>
    <xf numFmtId="42" fontId="18" fillId="5" borderId="35" xfId="0" applyNumberFormat="1" applyFont="1" applyFill="1" applyBorder="1" applyAlignment="1" applyProtection="1">
      <alignment vertical="center"/>
    </xf>
    <xf numFmtId="42" fontId="18" fillId="15" borderId="35" xfId="0" applyNumberFormat="1" applyFont="1" applyFill="1" applyBorder="1" applyAlignment="1" applyProtection="1">
      <alignment vertical="center"/>
    </xf>
    <xf numFmtId="5" fontId="32" fillId="0" borderId="35" xfId="0" applyNumberFormat="1" applyFont="1" applyFill="1" applyBorder="1" applyAlignment="1" applyProtection="1">
      <alignment vertical="center"/>
    </xf>
    <xf numFmtId="42" fontId="18" fillId="20" borderId="121" xfId="0" applyNumberFormat="1" applyFont="1" applyFill="1" applyBorder="1" applyAlignment="1" applyProtection="1">
      <alignment vertical="center"/>
    </xf>
    <xf numFmtId="42" fontId="18" fillId="20" borderId="220" xfId="0" applyNumberFormat="1" applyFont="1" applyFill="1" applyBorder="1" applyAlignment="1" applyProtection="1">
      <alignment vertical="center"/>
    </xf>
    <xf numFmtId="0" fontId="3" fillId="3" borderId="101" xfId="0" applyFont="1" applyFill="1" applyBorder="1" applyAlignment="1" applyProtection="1">
      <protection locked="0"/>
    </xf>
    <xf numFmtId="44" fontId="3" fillId="3" borderId="81" xfId="0" applyNumberFormat="1" applyFont="1" applyFill="1" applyBorder="1" applyAlignment="1" applyProtection="1">
      <protection locked="0"/>
    </xf>
    <xf numFmtId="0" fontId="21" fillId="0" borderId="12" xfId="0" applyFont="1" applyBorder="1" applyProtection="1"/>
    <xf numFmtId="0" fontId="18" fillId="0" borderId="0" xfId="0" applyFont="1" applyBorder="1" applyProtection="1"/>
    <xf numFmtId="5" fontId="40" fillId="0" borderId="0" xfId="0" applyNumberFormat="1" applyFont="1" applyFill="1" applyBorder="1" applyProtection="1"/>
    <xf numFmtId="5" fontId="18" fillId="0" borderId="0" xfId="0" applyNumberFormat="1" applyFont="1" applyFill="1" applyBorder="1" applyProtection="1"/>
    <xf numFmtId="0" fontId="36" fillId="0" borderId="0" xfId="0" applyFont="1" applyBorder="1" applyProtection="1"/>
    <xf numFmtId="0" fontId="25" fillId="0" borderId="0" xfId="0" applyFont="1" applyBorder="1" applyProtection="1"/>
    <xf numFmtId="0" fontId="22" fillId="0" borderId="0" xfId="0" applyFont="1" applyBorder="1" applyProtection="1"/>
    <xf numFmtId="0" fontId="46" fillId="0" borderId="0" xfId="0" applyFont="1" applyBorder="1" applyProtection="1"/>
    <xf numFmtId="5" fontId="43" fillId="6" borderId="257" xfId="0" applyNumberFormat="1" applyFont="1" applyFill="1" applyBorder="1" applyProtection="1"/>
    <xf numFmtId="5" fontId="43" fillId="0" borderId="0" xfId="0" applyNumberFormat="1" applyFont="1" applyFill="1" applyBorder="1" applyProtection="1"/>
    <xf numFmtId="5" fontId="43" fillId="0" borderId="0" xfId="0" applyNumberFormat="1" applyFont="1" applyBorder="1" applyProtection="1"/>
    <xf numFmtId="5" fontId="43" fillId="6" borderId="255" xfId="0" applyNumberFormat="1" applyFont="1" applyFill="1" applyBorder="1" applyProtection="1"/>
    <xf numFmtId="0" fontId="48" fillId="0" borderId="0" xfId="0" applyFont="1" applyBorder="1" applyProtection="1"/>
    <xf numFmtId="5" fontId="21" fillId="0" borderId="0" xfId="0" applyNumberFormat="1" applyFont="1" applyFill="1" applyBorder="1" applyProtection="1"/>
    <xf numFmtId="5" fontId="48" fillId="6" borderId="257" xfId="0" applyNumberFormat="1" applyFont="1" applyFill="1" applyBorder="1" applyAlignment="1" applyProtection="1">
      <alignment horizontal="right"/>
    </xf>
    <xf numFmtId="5" fontId="36" fillId="0" borderId="0" xfId="0" applyNumberFormat="1" applyFont="1" applyFill="1" applyBorder="1" applyProtection="1"/>
    <xf numFmtId="5" fontId="48" fillId="0" borderId="268" xfId="0" applyNumberFormat="1" applyFont="1" applyFill="1" applyBorder="1" applyProtection="1"/>
    <xf numFmtId="5" fontId="48" fillId="0" borderId="86" xfId="0" applyNumberFormat="1" applyFont="1" applyFill="1" applyBorder="1" applyProtection="1"/>
    <xf numFmtId="0" fontId="48" fillId="0" borderId="86" xfId="0" applyFont="1" applyBorder="1" applyProtection="1"/>
    <xf numFmtId="5" fontId="43" fillId="6" borderId="285" xfId="0" applyNumberFormat="1" applyFont="1" applyFill="1" applyBorder="1" applyProtection="1"/>
    <xf numFmtId="5" fontId="43" fillId="6" borderId="163" xfId="0" applyNumberFormat="1" applyFont="1" applyFill="1" applyBorder="1" applyProtection="1"/>
    <xf numFmtId="5" fontId="43" fillId="6" borderId="162" xfId="0" applyNumberFormat="1" applyFont="1" applyFill="1" applyBorder="1" applyProtection="1"/>
    <xf numFmtId="5" fontId="43" fillId="6" borderId="286" xfId="0" applyNumberFormat="1" applyFont="1" applyFill="1" applyBorder="1" applyProtection="1"/>
    <xf numFmtId="5" fontId="43" fillId="6" borderId="284" xfId="0" applyNumberFormat="1" applyFont="1" applyFill="1" applyBorder="1" applyProtection="1"/>
    <xf numFmtId="5" fontId="43" fillId="6" borderId="281" xfId="0" applyNumberFormat="1" applyFont="1" applyFill="1" applyBorder="1" applyProtection="1"/>
    <xf numFmtId="5" fontId="22" fillId="18" borderId="130" xfId="0" applyNumberFormat="1" applyFont="1" applyFill="1" applyBorder="1" applyAlignment="1" applyProtection="1">
      <alignment horizontal="center"/>
    </xf>
    <xf numFmtId="5" fontId="22" fillId="18" borderId="73" xfId="0" applyNumberFormat="1" applyFont="1" applyFill="1" applyBorder="1" applyAlignment="1" applyProtection="1">
      <alignment horizontal="center"/>
    </xf>
    <xf numFmtId="5" fontId="22" fillId="18" borderId="271" xfId="0" applyNumberFormat="1" applyFont="1" applyFill="1" applyBorder="1" applyAlignment="1" applyProtection="1">
      <alignment horizontal="center"/>
    </xf>
    <xf numFmtId="5" fontId="22" fillId="18" borderId="266" xfId="0" applyNumberFormat="1" applyFont="1" applyFill="1" applyBorder="1" applyAlignment="1" applyProtection="1">
      <alignment horizontal="center"/>
    </xf>
    <xf numFmtId="5" fontId="22" fillId="18" borderId="293" xfId="0" applyNumberFormat="1" applyFont="1" applyFill="1" applyBorder="1" applyAlignment="1" applyProtection="1">
      <alignment horizontal="center"/>
    </xf>
    <xf numFmtId="166" fontId="19" fillId="18" borderId="251" xfId="0" applyNumberFormat="1" applyFont="1" applyFill="1" applyBorder="1" applyAlignment="1" applyProtection="1">
      <alignment horizontal="right"/>
    </xf>
    <xf numFmtId="166" fontId="19" fillId="18" borderId="251" xfId="0" applyNumberFormat="1" applyFont="1" applyFill="1" applyBorder="1" applyProtection="1"/>
    <xf numFmtId="9" fontId="18" fillId="0" borderId="47" xfId="0" applyNumberFormat="1" applyFont="1" applyFill="1" applyBorder="1" applyAlignment="1" applyProtection="1">
      <alignment horizontal="right" wrapText="1"/>
      <protection locked="0"/>
    </xf>
    <xf numFmtId="9" fontId="18" fillId="0" borderId="51" xfId="0" applyNumberFormat="1" applyFont="1" applyFill="1" applyBorder="1" applyAlignment="1" applyProtection="1">
      <alignment horizontal="right" wrapText="1"/>
      <protection locked="0"/>
    </xf>
    <xf numFmtId="166" fontId="19" fillId="6" borderId="147" xfId="0" applyNumberFormat="1" applyFont="1" applyFill="1" applyBorder="1" applyProtection="1"/>
    <xf numFmtId="0" fontId="3" fillId="0" borderId="32" xfId="0" applyFont="1" applyFill="1" applyBorder="1" applyProtection="1"/>
    <xf numFmtId="0" fontId="3" fillId="0" borderId="0" xfId="0" applyFont="1" applyFill="1" applyBorder="1" applyProtection="1"/>
    <xf numFmtId="0" fontId="3" fillId="0" borderId="33" xfId="0" applyFont="1" applyFill="1" applyBorder="1" applyProtection="1"/>
    <xf numFmtId="44" fontId="3" fillId="2" borderId="442" xfId="0" applyNumberFormat="1" applyFont="1" applyFill="1" applyBorder="1" applyAlignment="1" applyProtection="1"/>
    <xf numFmtId="0" fontId="11" fillId="18" borderId="445" xfId="0" applyFont="1" applyFill="1" applyBorder="1" applyAlignment="1" applyProtection="1">
      <alignment vertical="center" wrapText="1"/>
    </xf>
    <xf numFmtId="0" fontId="11" fillId="18" borderId="446" xfId="0" applyFont="1" applyFill="1" applyBorder="1" applyAlignment="1" applyProtection="1">
      <alignment vertical="center" wrapText="1"/>
    </xf>
    <xf numFmtId="0" fontId="17" fillId="0" borderId="0" xfId="0" applyNumberFormat="1" applyFont="1" applyFill="1" applyBorder="1" applyAlignment="1" applyProtection="1"/>
    <xf numFmtId="0" fontId="3" fillId="0" borderId="160" xfId="0" applyFont="1" applyBorder="1" applyAlignment="1" applyProtection="1">
      <alignment vertical="center" wrapText="1"/>
      <protection locked="0"/>
    </xf>
    <xf numFmtId="0" fontId="11" fillId="18" borderId="254" xfId="0" applyFont="1" applyFill="1" applyBorder="1" applyAlignment="1" applyProtection="1">
      <alignment vertical="center" wrapText="1"/>
    </xf>
    <xf numFmtId="0" fontId="6" fillId="18" borderId="254" xfId="0" applyFont="1" applyFill="1" applyBorder="1" applyAlignment="1" applyProtection="1">
      <alignment vertical="center" wrapText="1"/>
    </xf>
    <xf numFmtId="0" fontId="11" fillId="18" borderId="255" xfId="0" applyFont="1" applyFill="1" applyBorder="1" applyAlignment="1" applyProtection="1">
      <alignment vertical="center" wrapText="1"/>
    </xf>
    <xf numFmtId="0" fontId="19" fillId="0" borderId="0" xfId="0" applyFont="1" applyFill="1" applyBorder="1" applyProtection="1"/>
    <xf numFmtId="0" fontId="27" fillId="0" borderId="0" xfId="0" applyFont="1" applyFill="1" applyBorder="1" applyAlignment="1" applyProtection="1"/>
    <xf numFmtId="0" fontId="27" fillId="0" borderId="438" xfId="0" applyFont="1" applyBorder="1" applyAlignment="1" applyProtection="1"/>
    <xf numFmtId="0" fontId="27" fillId="0" borderId="439" xfId="0" applyFont="1" applyBorder="1" applyAlignment="1" applyProtection="1"/>
    <xf numFmtId="0" fontId="27" fillId="0" borderId="0" xfId="0" applyFont="1" applyBorder="1" applyAlignment="1" applyProtection="1"/>
    <xf numFmtId="0" fontId="27" fillId="0" borderId="3" xfId="0" applyFont="1" applyBorder="1" applyAlignment="1" applyProtection="1"/>
    <xf numFmtId="5" fontId="27" fillId="0" borderId="438" xfId="0" applyNumberFormat="1" applyFont="1" applyFill="1" applyBorder="1" applyAlignment="1" applyProtection="1">
      <alignment vertical="center"/>
    </xf>
    <xf numFmtId="0" fontId="27" fillId="0" borderId="438" xfId="0" applyFont="1" applyFill="1" applyBorder="1" applyAlignment="1" applyProtection="1">
      <alignment vertical="center"/>
    </xf>
    <xf numFmtId="5" fontId="32" fillId="10" borderId="432" xfId="0" applyNumberFormat="1" applyFont="1" applyFill="1" applyBorder="1" applyAlignment="1" applyProtection="1">
      <alignment vertical="center"/>
    </xf>
    <xf numFmtId="5" fontId="32" fillId="10" borderId="438" xfId="0" applyNumberFormat="1" applyFont="1" applyFill="1" applyBorder="1" applyAlignment="1" applyProtection="1">
      <alignment vertical="center"/>
    </xf>
    <xf numFmtId="0" fontId="32" fillId="10" borderId="11" xfId="0" applyFont="1" applyFill="1" applyBorder="1" applyAlignment="1" applyProtection="1"/>
    <xf numFmtId="0" fontId="32" fillId="10" borderId="12" xfId="0" applyFont="1" applyFill="1" applyBorder="1" applyAlignment="1" applyProtection="1"/>
    <xf numFmtId="0" fontId="35" fillId="0" borderId="0" xfId="0" applyFont="1" applyBorder="1" applyAlignment="1" applyProtection="1">
      <alignment vertical="center"/>
    </xf>
    <xf numFmtId="0" fontId="27" fillId="6" borderId="6" xfId="0" applyFont="1" applyFill="1" applyBorder="1" applyAlignment="1" applyProtection="1"/>
    <xf numFmtId="0" fontId="19" fillId="0" borderId="0" xfId="0" applyFont="1" applyBorder="1" applyProtection="1"/>
    <xf numFmtId="44" fontId="18" fillId="0" borderId="0" xfId="0" applyNumberFormat="1" applyFont="1" applyFill="1" applyBorder="1" applyProtection="1"/>
    <xf numFmtId="5" fontId="10" fillId="7" borderId="114" xfId="0" applyNumberFormat="1" applyFont="1" applyFill="1" applyBorder="1" applyAlignment="1" applyProtection="1">
      <alignment horizontal="center" vertical="center" wrapText="1"/>
    </xf>
    <xf numFmtId="0" fontId="56" fillId="0" borderId="0" xfId="0" applyFont="1" applyBorder="1" applyProtection="1"/>
    <xf numFmtId="0" fontId="58" fillId="0" borderId="0" xfId="0" applyFont="1" applyBorder="1" applyAlignment="1" applyProtection="1"/>
    <xf numFmtId="0" fontId="58" fillId="0" borderId="0" xfId="0" applyFont="1" applyBorder="1" applyProtection="1"/>
    <xf numFmtId="6" fontId="58" fillId="0" borderId="0" xfId="0" applyNumberFormat="1" applyFont="1" applyBorder="1" applyProtection="1"/>
    <xf numFmtId="6" fontId="59" fillId="18" borderId="253" xfId="0" applyNumberFormat="1" applyFont="1" applyFill="1" applyBorder="1" applyAlignment="1" applyProtection="1">
      <alignment horizontal="center"/>
    </xf>
    <xf numFmtId="0" fontId="59" fillId="18" borderId="252" xfId="0" applyFont="1" applyFill="1" applyBorder="1" applyAlignment="1" applyProtection="1">
      <alignment horizontal="center" vertical="center" wrapText="1"/>
    </xf>
    <xf numFmtId="0" fontId="60" fillId="0" borderId="12" xfId="0" applyFont="1" applyFill="1" applyBorder="1" applyProtection="1"/>
    <xf numFmtId="0" fontId="58" fillId="0" borderId="12" xfId="0" applyFont="1" applyFill="1" applyBorder="1" applyAlignment="1" applyProtection="1"/>
    <xf numFmtId="0" fontId="59" fillId="0" borderId="0" xfId="0" applyFont="1" applyBorder="1" applyAlignment="1" applyProtection="1"/>
    <xf numFmtId="42" fontId="58" fillId="6" borderId="176" xfId="0" applyNumberFormat="1" applyFont="1" applyFill="1" applyBorder="1" applyProtection="1"/>
    <xf numFmtId="42" fontId="58" fillId="6" borderId="177" xfId="0" applyNumberFormat="1" applyFont="1" applyFill="1" applyBorder="1" applyProtection="1"/>
    <xf numFmtId="0" fontId="58" fillId="0" borderId="6" xfId="0" applyFont="1" applyBorder="1" applyAlignment="1" applyProtection="1"/>
    <xf numFmtId="42" fontId="58" fillId="6" borderId="174" xfId="0" applyNumberFormat="1" applyFont="1" applyFill="1" applyBorder="1" applyProtection="1"/>
    <xf numFmtId="42" fontId="58" fillId="6" borderId="175" xfId="0" applyNumberFormat="1" applyFont="1" applyFill="1" applyBorder="1" applyProtection="1"/>
    <xf numFmtId="42" fontId="58" fillId="6" borderId="273" xfId="0" applyNumberFormat="1" applyFont="1" applyFill="1" applyBorder="1" applyProtection="1"/>
    <xf numFmtId="42" fontId="58" fillId="6" borderId="275" xfId="0" applyNumberFormat="1" applyFont="1" applyFill="1" applyBorder="1" applyProtection="1"/>
    <xf numFmtId="0" fontId="58" fillId="0" borderId="6" xfId="0" applyFont="1" applyBorder="1" applyProtection="1"/>
    <xf numFmtId="0" fontId="59" fillId="0" borderId="0" xfId="0" applyFont="1" applyBorder="1" applyProtection="1"/>
    <xf numFmtId="42" fontId="58" fillId="6" borderId="172" xfId="0" applyNumberFormat="1" applyFont="1" applyFill="1" applyBorder="1" applyProtection="1"/>
    <xf numFmtId="42" fontId="58" fillId="6" borderId="150" xfId="0" applyNumberFormat="1" applyFont="1" applyFill="1" applyBorder="1" applyProtection="1"/>
    <xf numFmtId="42" fontId="59" fillId="6" borderId="257" xfId="0" applyNumberFormat="1" applyFont="1" applyFill="1" applyBorder="1" applyProtection="1"/>
    <xf numFmtId="0" fontId="60" fillId="0" borderId="12" xfId="0" applyFont="1" applyBorder="1" applyProtection="1"/>
    <xf numFmtId="0" fontId="58" fillId="0" borderId="12" xfId="0" applyFont="1" applyBorder="1" applyAlignment="1" applyProtection="1"/>
    <xf numFmtId="0" fontId="58" fillId="0" borderId="12" xfId="0" applyFont="1" applyBorder="1" applyProtection="1"/>
    <xf numFmtId="6" fontId="58" fillId="0" borderId="12" xfId="0" applyNumberFormat="1" applyFont="1" applyBorder="1" applyProtection="1"/>
    <xf numFmtId="42" fontId="58" fillId="6" borderId="267" xfId="0" applyNumberFormat="1" applyFont="1" applyFill="1" applyBorder="1" applyProtection="1"/>
    <xf numFmtId="6" fontId="58" fillId="0" borderId="43" xfId="0" applyNumberFormat="1" applyFont="1" applyBorder="1" applyProtection="1"/>
    <xf numFmtId="42" fontId="58" fillId="6" borderId="173" xfId="0" applyNumberFormat="1" applyFont="1" applyFill="1" applyBorder="1" applyProtection="1"/>
    <xf numFmtId="42" fontId="58" fillId="6" borderId="5" xfId="0" applyNumberFormat="1" applyFont="1" applyFill="1" applyBorder="1" applyProtection="1"/>
    <xf numFmtId="42" fontId="58" fillId="6" borderId="285" xfId="0" applyNumberFormat="1" applyFont="1" applyFill="1" applyBorder="1" applyProtection="1"/>
    <xf numFmtId="0" fontId="58" fillId="0" borderId="6" xfId="0" applyFont="1" applyFill="1" applyBorder="1" applyAlignment="1" applyProtection="1"/>
    <xf numFmtId="0" fontId="59" fillId="0" borderId="0" xfId="0" applyFont="1" applyFill="1" applyBorder="1" applyAlignment="1" applyProtection="1"/>
    <xf numFmtId="42" fontId="59" fillId="6" borderId="5" xfId="0" applyNumberFormat="1" applyFont="1" applyFill="1" applyBorder="1" applyProtection="1"/>
    <xf numFmtId="8" fontId="58" fillId="0" borderId="43" xfId="0" applyNumberFormat="1" applyFont="1" applyBorder="1" applyProtection="1"/>
    <xf numFmtId="0" fontId="56" fillId="18" borderId="253" xfId="0" applyFont="1" applyFill="1" applyBorder="1" applyProtection="1"/>
    <xf numFmtId="0" fontId="59" fillId="18" borderId="251" xfId="0" applyFont="1" applyFill="1" applyBorder="1" applyProtection="1"/>
    <xf numFmtId="42" fontId="58" fillId="6" borderId="147" xfId="0" applyNumberFormat="1" applyFont="1" applyFill="1" applyBorder="1" applyProtection="1"/>
    <xf numFmtId="44" fontId="18" fillId="0" borderId="278" xfId="0" applyNumberFormat="1" applyFont="1" applyFill="1" applyBorder="1" applyAlignment="1" applyProtection="1">
      <protection locked="0"/>
    </xf>
    <xf numFmtId="44" fontId="18" fillId="0" borderId="81" xfId="0" applyNumberFormat="1" applyFont="1" applyFill="1" applyBorder="1" applyAlignment="1" applyProtection="1">
      <alignment vertical="center"/>
      <protection locked="0"/>
    </xf>
    <xf numFmtId="44" fontId="18" fillId="0" borderId="101" xfId="0" applyNumberFormat="1" applyFont="1" applyFill="1" applyBorder="1" applyAlignment="1" applyProtection="1">
      <protection locked="0"/>
    </xf>
    <xf numFmtId="9" fontId="18" fillId="0" borderId="81" xfId="0" applyNumberFormat="1" applyFont="1" applyFill="1" applyBorder="1" applyAlignment="1" applyProtection="1">
      <protection locked="0"/>
    </xf>
    <xf numFmtId="1" fontId="18" fillId="0" borderId="101" xfId="0" applyNumberFormat="1" applyFont="1" applyFill="1" applyBorder="1" applyAlignment="1" applyProtection="1">
      <protection locked="0"/>
    </xf>
    <xf numFmtId="44" fontId="18" fillId="0" borderId="88" xfId="0" applyNumberFormat="1" applyFont="1" applyFill="1" applyBorder="1" applyAlignment="1" applyProtection="1">
      <alignment vertical="center"/>
      <protection locked="0"/>
    </xf>
    <xf numFmtId="44" fontId="18" fillId="0" borderId="116" xfId="0" applyNumberFormat="1" applyFont="1" applyFill="1" applyBorder="1" applyAlignment="1" applyProtection="1">
      <protection locked="0"/>
    </xf>
    <xf numFmtId="9" fontId="18" fillId="0" borderId="88" xfId="0" applyNumberFormat="1" applyFont="1" applyFill="1" applyBorder="1" applyAlignment="1" applyProtection="1">
      <protection locked="0"/>
    </xf>
    <xf numFmtId="1" fontId="18" fillId="0" borderId="116" xfId="0" applyNumberFormat="1" applyFont="1" applyFill="1" applyBorder="1" applyAlignment="1" applyProtection="1">
      <protection locked="0"/>
    </xf>
    <xf numFmtId="166" fontId="18" fillId="0" borderId="0" xfId="0" applyNumberFormat="1" applyFont="1" applyFill="1" applyBorder="1" applyAlignment="1" applyProtection="1">
      <alignment horizontal="left"/>
    </xf>
    <xf numFmtId="0" fontId="43" fillId="0" borderId="0" xfId="0" applyFont="1" applyFill="1" applyBorder="1" applyAlignment="1" applyProtection="1"/>
    <xf numFmtId="0" fontId="18" fillId="0" borderId="283" xfId="0" applyFont="1" applyFill="1" applyBorder="1" applyAlignment="1" applyProtection="1">
      <protection locked="0"/>
    </xf>
    <xf numFmtId="0" fontId="18" fillId="0" borderId="140" xfId="0" applyFont="1" applyFill="1" applyBorder="1" applyAlignment="1" applyProtection="1">
      <protection locked="0"/>
    </xf>
    <xf numFmtId="0" fontId="18" fillId="0" borderId="141" xfId="0" applyFont="1" applyFill="1" applyBorder="1" applyAlignment="1" applyProtection="1">
      <protection locked="0"/>
    </xf>
    <xf numFmtId="44" fontId="18" fillId="0" borderId="263" xfId="0" applyNumberFormat="1" applyFont="1" applyFill="1" applyBorder="1" applyAlignment="1" applyProtection="1">
      <protection locked="0"/>
    </xf>
    <xf numFmtId="0" fontId="18" fillId="0" borderId="282" xfId="0" applyFont="1" applyFill="1" applyBorder="1" applyAlignment="1" applyProtection="1">
      <protection locked="0"/>
    </xf>
    <xf numFmtId="166" fontId="18" fillId="0" borderId="263" xfId="0" applyNumberFormat="1" applyFont="1" applyFill="1" applyBorder="1" applyAlignment="1" applyProtection="1">
      <protection locked="0"/>
    </xf>
    <xf numFmtId="166" fontId="18" fillId="0" borderId="278" xfId="0" applyNumberFormat="1" applyFont="1" applyFill="1" applyBorder="1" applyAlignment="1" applyProtection="1">
      <protection locked="0"/>
    </xf>
    <xf numFmtId="44" fontId="18" fillId="0" borderId="81" xfId="0" applyNumberFormat="1" applyFont="1" applyFill="1" applyBorder="1" applyAlignment="1" applyProtection="1">
      <protection locked="0"/>
    </xf>
    <xf numFmtId="0" fontId="18" fillId="0" borderId="126" xfId="0" applyFont="1" applyFill="1" applyBorder="1" applyAlignment="1" applyProtection="1">
      <protection locked="0"/>
    </xf>
    <xf numFmtId="166" fontId="18" fillId="0" borderId="81" xfId="0" applyNumberFormat="1" applyFont="1" applyFill="1" applyBorder="1" applyAlignment="1" applyProtection="1">
      <protection locked="0"/>
    </xf>
    <xf numFmtId="166" fontId="18" fillId="0" borderId="101" xfId="0" applyNumberFormat="1" applyFont="1" applyFill="1" applyBorder="1" applyAlignment="1" applyProtection="1">
      <protection locked="0"/>
    </xf>
    <xf numFmtId="44" fontId="18" fillId="0" borderId="88" xfId="0" applyNumberFormat="1" applyFont="1" applyFill="1" applyBorder="1" applyAlignment="1" applyProtection="1">
      <protection locked="0"/>
    </xf>
    <xf numFmtId="0" fontId="18" fillId="0" borderId="139" xfId="0" applyFont="1" applyFill="1" applyBorder="1" applyAlignment="1" applyProtection="1">
      <protection locked="0"/>
    </xf>
    <xf numFmtId="166" fontId="18" fillId="0" borderId="88" xfId="0" applyNumberFormat="1" applyFont="1" applyFill="1" applyBorder="1" applyAlignment="1" applyProtection="1">
      <protection locked="0"/>
    </xf>
    <xf numFmtId="166" fontId="18" fillId="0" borderId="116" xfId="0" applyNumberFormat="1" applyFont="1" applyFill="1" applyBorder="1" applyAlignment="1" applyProtection="1">
      <protection locked="0"/>
    </xf>
    <xf numFmtId="44" fontId="18" fillId="0" borderId="0" xfId="0" applyNumberFormat="1" applyFont="1" applyFill="1" applyBorder="1" applyAlignment="1" applyProtection="1">
      <alignment horizontal="left"/>
    </xf>
    <xf numFmtId="44" fontId="22" fillId="0" borderId="0" xfId="0" applyNumberFormat="1" applyFont="1" applyFill="1" applyBorder="1" applyAlignment="1" applyProtection="1">
      <alignment horizontal="left"/>
    </xf>
    <xf numFmtId="0" fontId="66" fillId="0" borderId="0" xfId="0" applyFont="1" applyFill="1" applyBorder="1" applyAlignment="1" applyProtection="1">
      <alignment horizontal="left" vertical="center"/>
    </xf>
    <xf numFmtId="0" fontId="18" fillId="0" borderId="133" xfId="0" applyFont="1" applyFill="1" applyBorder="1" applyAlignment="1" applyProtection="1">
      <protection locked="0"/>
    </xf>
    <xf numFmtId="0" fontId="18" fillId="0" borderId="70" xfId="0" applyFont="1" applyFill="1" applyBorder="1" applyAlignment="1" applyProtection="1">
      <protection locked="0"/>
    </xf>
    <xf numFmtId="44" fontId="18" fillId="6" borderId="287" xfId="0" applyNumberFormat="1" applyFont="1" applyFill="1" applyBorder="1" applyAlignment="1" applyProtection="1"/>
    <xf numFmtId="44" fontId="18" fillId="6" borderId="280" xfId="0" applyNumberFormat="1" applyFont="1" applyFill="1" applyBorder="1" applyAlignment="1" applyProtection="1"/>
    <xf numFmtId="44" fontId="22" fillId="6" borderId="257" xfId="0" applyNumberFormat="1" applyFont="1" applyFill="1" applyBorder="1" applyAlignment="1" applyProtection="1"/>
    <xf numFmtId="44" fontId="18" fillId="0" borderId="95" xfId="0" applyNumberFormat="1" applyFont="1" applyFill="1" applyBorder="1" applyAlignment="1" applyProtection="1">
      <alignment vertical="center"/>
      <protection locked="0"/>
    </xf>
    <xf numFmtId="44" fontId="18" fillId="0" borderId="100" xfId="0" applyNumberFormat="1" applyFont="1" applyFill="1" applyBorder="1" applyAlignment="1" applyProtection="1">
      <protection locked="0"/>
    </xf>
    <xf numFmtId="9" fontId="18" fillId="0" borderId="95" xfId="0" applyNumberFormat="1" applyFont="1" applyFill="1" applyBorder="1" applyAlignment="1" applyProtection="1">
      <protection locked="0"/>
    </xf>
    <xf numFmtId="1" fontId="18" fillId="0" borderId="100" xfId="0" applyNumberFormat="1" applyFont="1" applyFill="1" applyBorder="1" applyAlignment="1" applyProtection="1">
      <protection locked="0"/>
    </xf>
    <xf numFmtId="44" fontId="18" fillId="0" borderId="95" xfId="0" applyNumberFormat="1" applyFont="1" applyFill="1" applyBorder="1" applyAlignment="1" applyProtection="1">
      <protection locked="0"/>
    </xf>
    <xf numFmtId="0" fontId="18" fillId="0" borderId="106" xfId="0" applyFont="1" applyFill="1" applyBorder="1" applyAlignment="1" applyProtection="1">
      <protection locked="0"/>
    </xf>
    <xf numFmtId="0" fontId="18" fillId="0" borderId="177" xfId="0" applyFont="1" applyFill="1" applyBorder="1" applyAlignment="1" applyProtection="1">
      <protection locked="0"/>
    </xf>
    <xf numFmtId="5" fontId="48" fillId="0" borderId="443" xfId="0" applyNumberFormat="1" applyFont="1" applyFill="1" applyBorder="1" applyProtection="1"/>
    <xf numFmtId="0" fontId="3" fillId="0" borderId="29" xfId="0" applyFont="1" applyFill="1" applyBorder="1" applyAlignment="1" applyProtection="1">
      <alignment vertical="center"/>
    </xf>
    <xf numFmtId="0" fontId="18" fillId="0" borderId="0" xfId="0" applyFont="1" applyFill="1" applyBorder="1" applyProtection="1"/>
    <xf numFmtId="0" fontId="18" fillId="0" borderId="33" xfId="0" applyFont="1" applyFill="1" applyBorder="1" applyProtection="1"/>
    <xf numFmtId="0" fontId="18" fillId="0" borderId="32" xfId="0" applyFont="1" applyFill="1" applyBorder="1" applyAlignment="1" applyProtection="1">
      <alignment vertical="center"/>
    </xf>
    <xf numFmtId="0" fontId="51" fillId="0" borderId="0" xfId="0" applyFont="1" applyFill="1" applyAlignment="1" applyProtection="1">
      <alignment horizontal="right"/>
    </xf>
    <xf numFmtId="0" fontId="18" fillId="0" borderId="34" xfId="0" applyFont="1" applyFill="1" applyBorder="1" applyAlignment="1" applyProtection="1">
      <alignment vertical="center"/>
    </xf>
    <xf numFmtId="0" fontId="18" fillId="0" borderId="35" xfId="0" applyFont="1" applyFill="1" applyBorder="1" applyAlignment="1" applyProtection="1">
      <alignment vertical="center"/>
    </xf>
    <xf numFmtId="0" fontId="18" fillId="0" borderId="35" xfId="0" applyFont="1" applyFill="1" applyBorder="1" applyProtection="1"/>
    <xf numFmtId="0" fontId="18" fillId="0" borderId="36" xfId="0" applyFont="1" applyFill="1" applyBorder="1" applyProtection="1"/>
    <xf numFmtId="6" fontId="18" fillId="6" borderId="83" xfId="0" applyNumberFormat="1" applyFont="1" applyFill="1" applyBorder="1" applyAlignment="1" applyProtection="1"/>
    <xf numFmtId="5" fontId="18" fillId="6" borderId="83" xfId="0" applyNumberFormat="1" applyFont="1" applyFill="1" applyBorder="1" applyAlignment="1" applyProtection="1"/>
    <xf numFmtId="5" fontId="22" fillId="6" borderId="147" xfId="0" applyNumberFormat="1" applyFont="1" applyFill="1" applyBorder="1" applyAlignment="1" applyProtection="1"/>
    <xf numFmtId="6" fontId="18" fillId="6" borderId="147" xfId="0" applyNumberFormat="1" applyFont="1" applyFill="1" applyBorder="1" applyAlignment="1" applyProtection="1"/>
    <xf numFmtId="6" fontId="18" fillId="6" borderId="277" xfId="0" applyNumberFormat="1" applyFont="1" applyFill="1" applyBorder="1" applyAlignment="1" applyProtection="1"/>
    <xf numFmtId="6" fontId="18" fillId="6" borderId="121" xfId="0" applyNumberFormat="1" applyFont="1" applyFill="1" applyBorder="1" applyAlignment="1" applyProtection="1"/>
    <xf numFmtId="6" fontId="18" fillId="6" borderId="148" xfId="0" applyNumberFormat="1" applyFont="1" applyFill="1" applyBorder="1" applyAlignment="1" applyProtection="1"/>
    <xf numFmtId="5" fontId="18" fillId="6" borderId="277" xfId="0" applyNumberFormat="1" applyFont="1" applyFill="1" applyBorder="1" applyAlignment="1" applyProtection="1"/>
    <xf numFmtId="5" fontId="18" fillId="6" borderId="121" xfId="0" applyNumberFormat="1" applyFont="1" applyFill="1" applyBorder="1" applyAlignment="1" applyProtection="1"/>
    <xf numFmtId="5" fontId="18" fillId="6" borderId="148" xfId="0" applyNumberFormat="1" applyFont="1" applyFill="1" applyBorder="1" applyAlignment="1" applyProtection="1"/>
    <xf numFmtId="0" fontId="18" fillId="0" borderId="49" xfId="0" applyFont="1" applyFill="1" applyBorder="1" applyAlignment="1" applyProtection="1">
      <alignment horizontal="center" wrapText="1"/>
      <protection locked="0"/>
    </xf>
    <xf numFmtId="0" fontId="18" fillId="0" borderId="47" xfId="0" applyFont="1" applyFill="1" applyBorder="1" applyAlignment="1" applyProtection="1">
      <alignment horizontal="center"/>
      <protection locked="0"/>
    </xf>
    <xf numFmtId="166" fontId="18" fillId="0" borderId="47" xfId="0" applyNumberFormat="1" applyFont="1" applyFill="1" applyBorder="1" applyAlignment="1" applyProtection="1">
      <alignment horizontal="right" wrapText="1"/>
      <protection locked="0"/>
    </xf>
    <xf numFmtId="0" fontId="18" fillId="0" borderId="51" xfId="0" applyFont="1" applyFill="1" applyBorder="1" applyAlignment="1" applyProtection="1">
      <alignment horizontal="center"/>
      <protection locked="0"/>
    </xf>
    <xf numFmtId="166" fontId="18" fillId="0" borderId="51" xfId="0" applyNumberFormat="1" applyFont="1" applyFill="1" applyBorder="1" applyAlignment="1" applyProtection="1">
      <alignment horizontal="right" wrapText="1"/>
      <protection locked="0"/>
    </xf>
    <xf numFmtId="166" fontId="18" fillId="0" borderId="51" xfId="0" applyNumberFormat="1" applyFont="1" applyFill="1" applyBorder="1" applyAlignment="1" applyProtection="1">
      <alignment horizontal="right"/>
      <protection locked="0"/>
    </xf>
    <xf numFmtId="3" fontId="20" fillId="18" borderId="287" xfId="0" applyNumberFormat="1" applyFont="1" applyFill="1" applyBorder="1" applyAlignment="1" applyProtection="1"/>
    <xf numFmtId="3" fontId="20" fillId="18" borderId="452" xfId="0" applyNumberFormat="1" applyFont="1" applyFill="1" applyBorder="1" applyAlignment="1" applyProtection="1"/>
    <xf numFmtId="3" fontId="20" fillId="0" borderId="287" xfId="0" applyNumberFormat="1" applyFont="1" applyFill="1" applyBorder="1" applyAlignment="1" applyProtection="1"/>
    <xf numFmtId="3" fontId="20" fillId="0" borderId="452" xfId="0" applyNumberFormat="1" applyFont="1" applyFill="1" applyBorder="1" applyAlignment="1" applyProtection="1"/>
    <xf numFmtId="166" fontId="18" fillId="6" borderId="47" xfId="0" applyNumberFormat="1" applyFont="1" applyFill="1" applyBorder="1" applyAlignment="1" applyProtection="1">
      <alignment horizontal="right" wrapText="1"/>
    </xf>
    <xf numFmtId="166" fontId="18" fillId="6" borderId="51" xfId="0" applyNumberFormat="1" applyFont="1" applyFill="1" applyBorder="1" applyAlignment="1" applyProtection="1">
      <alignment horizontal="right" wrapText="1"/>
    </xf>
    <xf numFmtId="166" fontId="18" fillId="6" borderId="38" xfId="0" applyNumberFormat="1" applyFont="1" applyFill="1" applyBorder="1" applyAlignment="1" applyProtection="1">
      <alignment horizontal="right" wrapText="1"/>
    </xf>
    <xf numFmtId="166" fontId="18" fillId="6" borderId="53" xfId="0" applyNumberFormat="1" applyFont="1" applyFill="1" applyBorder="1" applyAlignment="1" applyProtection="1">
      <alignment horizontal="right" wrapText="1"/>
    </xf>
    <xf numFmtId="0" fontId="18" fillId="0" borderId="29" xfId="0" applyFont="1" applyFill="1" applyBorder="1" applyProtection="1"/>
    <xf numFmtId="0" fontId="18" fillId="0" borderId="30" xfId="0" applyFont="1" applyFill="1" applyBorder="1" applyProtection="1"/>
    <xf numFmtId="0" fontId="18" fillId="0" borderId="30" xfId="0" applyFont="1" applyFill="1" applyBorder="1" applyAlignment="1" applyProtection="1">
      <alignment horizontal="center"/>
    </xf>
    <xf numFmtId="166" fontId="18" fillId="0" borderId="30" xfId="0" applyNumberFormat="1" applyFont="1" applyFill="1" applyBorder="1" applyProtection="1"/>
    <xf numFmtId="9" fontId="18" fillId="0" borderId="30" xfId="0" applyNumberFormat="1" applyFont="1" applyFill="1" applyBorder="1" applyAlignment="1" applyProtection="1">
      <alignment horizontal="center"/>
    </xf>
    <xf numFmtId="166" fontId="18" fillId="0" borderId="30" xfId="0" applyNumberFormat="1" applyFont="1" applyFill="1" applyBorder="1" applyAlignment="1" applyProtection="1">
      <alignment horizontal="center"/>
    </xf>
    <xf numFmtId="3" fontId="18" fillId="0" borderId="30" xfId="0" applyNumberFormat="1" applyFont="1" applyFill="1" applyBorder="1" applyProtection="1"/>
    <xf numFmtId="0" fontId="18" fillId="0" borderId="31" xfId="0" applyFont="1" applyFill="1" applyBorder="1" applyProtection="1"/>
    <xf numFmtId="0" fontId="18" fillId="0" borderId="32" xfId="0" applyFont="1" applyFill="1" applyBorder="1" applyProtection="1"/>
    <xf numFmtId="0" fontId="18" fillId="0" borderId="0" xfId="0" applyFont="1" applyFill="1" applyBorder="1" applyAlignment="1" applyProtection="1">
      <alignment horizontal="center"/>
    </xf>
    <xf numFmtId="166" fontId="18" fillId="0" borderId="0" xfId="0" applyNumberFormat="1" applyFont="1" applyFill="1" applyBorder="1" applyProtection="1"/>
    <xf numFmtId="9" fontId="18" fillId="0" borderId="0" xfId="0" applyNumberFormat="1" applyFont="1" applyFill="1" applyBorder="1" applyAlignment="1" applyProtection="1">
      <alignment horizontal="center"/>
    </xf>
    <xf numFmtId="166" fontId="18" fillId="0" borderId="0" xfId="0" applyNumberFormat="1" applyFont="1" applyFill="1" applyBorder="1" applyAlignment="1" applyProtection="1">
      <alignment horizontal="center"/>
    </xf>
    <xf numFmtId="3" fontId="18" fillId="0" borderId="0" xfId="0" applyNumberFormat="1" applyFont="1" applyFill="1" applyBorder="1" applyProtection="1"/>
    <xf numFmtId="0" fontId="18" fillId="0" borderId="0" xfId="0" applyFont="1" applyFill="1" applyProtection="1">
      <protection locked="0"/>
    </xf>
    <xf numFmtId="0" fontId="18" fillId="0" borderId="0" xfId="0" applyFont="1" applyFill="1" applyBorder="1" applyAlignment="1" applyProtection="1"/>
    <xf numFmtId="166" fontId="18" fillId="0" borderId="0" xfId="0" applyNumberFormat="1" applyFont="1" applyFill="1" applyBorder="1" applyAlignment="1" applyProtection="1">
      <alignment horizontal="center" wrapText="1"/>
    </xf>
    <xf numFmtId="0" fontId="18" fillId="0" borderId="32" xfId="0" applyFont="1" applyFill="1" applyBorder="1" applyAlignment="1" applyProtection="1">
      <alignment wrapText="1"/>
    </xf>
    <xf numFmtId="166" fontId="18" fillId="0" borderId="0" xfId="0" applyNumberFormat="1" applyFont="1" applyFill="1" applyBorder="1" applyAlignment="1" applyProtection="1">
      <alignment wrapText="1"/>
    </xf>
    <xf numFmtId="3" fontId="19" fillId="0" borderId="33" xfId="0" applyNumberFormat="1" applyFont="1" applyFill="1" applyBorder="1" applyProtection="1"/>
    <xf numFmtId="6" fontId="18" fillId="0" borderId="37" xfId="0" applyNumberFormat="1" applyFont="1" applyFill="1" applyBorder="1" applyAlignment="1" applyProtection="1">
      <alignment horizontal="right"/>
      <protection locked="0"/>
    </xf>
    <xf numFmtId="6" fontId="18" fillId="0" borderId="47" xfId="0" applyNumberFormat="1" applyFont="1" applyFill="1" applyBorder="1" applyAlignment="1" applyProtection="1">
      <alignment horizontal="right"/>
      <protection locked="0"/>
    </xf>
    <xf numFmtId="6" fontId="18" fillId="0" borderId="38" xfId="0" applyNumberFormat="1" applyFont="1" applyFill="1" applyBorder="1" applyAlignment="1" applyProtection="1">
      <alignment horizontal="right"/>
      <protection locked="0"/>
    </xf>
    <xf numFmtId="166" fontId="19" fillId="0" borderId="33" xfId="0" applyNumberFormat="1" applyFont="1" applyFill="1" applyBorder="1" applyProtection="1"/>
    <xf numFmtId="166" fontId="18" fillId="0" borderId="47" xfId="0" applyNumberFormat="1" applyFont="1" applyFill="1" applyBorder="1" applyAlignment="1" applyProtection="1">
      <alignment horizontal="right"/>
      <protection locked="0"/>
    </xf>
    <xf numFmtId="6" fontId="18" fillId="0" borderId="50" xfId="0" applyNumberFormat="1" applyFont="1" applyFill="1" applyBorder="1" applyAlignment="1" applyProtection="1">
      <alignment horizontal="right"/>
      <protection locked="0"/>
    </xf>
    <xf numFmtId="6" fontId="18" fillId="0" borderId="51" xfId="0" applyNumberFormat="1" applyFont="1" applyFill="1" applyBorder="1" applyAlignment="1" applyProtection="1">
      <alignment horizontal="right"/>
      <protection locked="0"/>
    </xf>
    <xf numFmtId="6" fontId="18" fillId="0" borderId="53" xfId="0" applyNumberFormat="1" applyFont="1" applyFill="1" applyBorder="1" applyAlignment="1" applyProtection="1">
      <alignment horizontal="right"/>
      <protection locked="0"/>
    </xf>
    <xf numFmtId="3" fontId="19" fillId="0" borderId="32" xfId="0" applyNumberFormat="1" applyFont="1" applyFill="1" applyBorder="1" applyProtection="1"/>
    <xf numFmtId="166" fontId="19" fillId="0" borderId="12" xfId="0" applyNumberFormat="1" applyFont="1" applyFill="1" applyBorder="1" applyAlignment="1" applyProtection="1">
      <alignment horizontal="right"/>
    </xf>
    <xf numFmtId="166" fontId="19" fillId="0" borderId="12" xfId="0" applyNumberFormat="1" applyFont="1" applyFill="1" applyBorder="1" applyProtection="1"/>
    <xf numFmtId="166" fontId="19" fillId="0" borderId="189" xfId="0" applyNumberFormat="1" applyFont="1" applyFill="1" applyBorder="1" applyProtection="1"/>
    <xf numFmtId="3" fontId="20" fillId="0" borderId="30" xfId="0" applyNumberFormat="1" applyFont="1" applyFill="1" applyBorder="1" applyProtection="1"/>
    <xf numFmtId="166" fontId="19" fillId="0" borderId="30" xfId="0" applyNumberFormat="1" applyFont="1" applyFill="1" applyBorder="1" applyAlignment="1" applyProtection="1">
      <alignment horizontal="right"/>
    </xf>
    <xf numFmtId="166" fontId="19" fillId="0" borderId="30" xfId="0" applyNumberFormat="1" applyFont="1" applyFill="1" applyBorder="1" applyProtection="1"/>
    <xf numFmtId="166" fontId="19" fillId="0" borderId="0" xfId="0" applyNumberFormat="1" applyFont="1" applyFill="1" applyBorder="1" applyProtection="1"/>
    <xf numFmtId="3" fontId="19" fillId="0" borderId="0" xfId="0" applyNumberFormat="1" applyFont="1" applyFill="1" applyBorder="1" applyProtection="1"/>
    <xf numFmtId="3" fontId="20" fillId="0" borderId="0" xfId="0" applyNumberFormat="1" applyFont="1" applyFill="1" applyBorder="1" applyProtection="1"/>
    <xf numFmtId="166" fontId="17" fillId="0" borderId="0" xfId="0" applyNumberFormat="1" applyFont="1" applyFill="1" applyBorder="1" applyProtection="1"/>
    <xf numFmtId="6" fontId="18" fillId="0" borderId="261" xfId="0" applyNumberFormat="1" applyFont="1" applyFill="1" applyBorder="1" applyAlignment="1" applyProtection="1">
      <alignment horizontal="right"/>
      <protection locked="0"/>
    </xf>
    <xf numFmtId="6" fontId="18" fillId="0" borderId="260" xfId="0" applyNumberFormat="1" applyFont="1" applyFill="1" applyBorder="1" applyAlignment="1" applyProtection="1">
      <alignment horizontal="right"/>
      <protection locked="0"/>
    </xf>
    <xf numFmtId="6" fontId="18" fillId="0" borderId="262" xfId="0" applyNumberFormat="1" applyFont="1" applyFill="1" applyBorder="1" applyAlignment="1" applyProtection="1">
      <alignment horizontal="right"/>
      <protection locked="0"/>
    </xf>
    <xf numFmtId="6" fontId="18" fillId="0" borderId="54" xfId="0" applyNumberFormat="1" applyFont="1" applyFill="1" applyBorder="1" applyAlignment="1" applyProtection="1">
      <alignment horizontal="right"/>
      <protection locked="0"/>
    </xf>
    <xf numFmtId="6" fontId="18" fillId="0" borderId="55" xfId="0" applyNumberFormat="1" applyFont="1" applyFill="1" applyBorder="1" applyAlignment="1" applyProtection="1">
      <alignment horizontal="right"/>
      <protection locked="0"/>
    </xf>
    <xf numFmtId="6" fontId="18" fillId="0" borderId="56" xfId="0" applyNumberFormat="1" applyFont="1" applyFill="1" applyBorder="1" applyAlignment="1" applyProtection="1">
      <alignment horizontal="right"/>
      <protection locked="0"/>
    </xf>
    <xf numFmtId="6" fontId="18" fillId="0" borderId="48" xfId="0" applyNumberFormat="1" applyFont="1" applyFill="1" applyBorder="1" applyAlignment="1" applyProtection="1">
      <alignment horizontal="right"/>
      <protection locked="0"/>
    </xf>
    <xf numFmtId="6" fontId="18" fillId="0" borderId="57" xfId="0" applyNumberFormat="1" applyFont="1" applyFill="1" applyBorder="1" applyAlignment="1" applyProtection="1">
      <alignment horizontal="right"/>
      <protection locked="0"/>
    </xf>
    <xf numFmtId="166" fontId="22" fillId="0" borderId="0" xfId="0" applyNumberFormat="1" applyFont="1" applyFill="1" applyBorder="1" applyProtection="1"/>
    <xf numFmtId="168" fontId="22"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center"/>
    </xf>
    <xf numFmtId="166" fontId="19" fillId="0" borderId="0" xfId="0" applyNumberFormat="1" applyFont="1" applyFill="1" applyBorder="1" applyAlignment="1" applyProtection="1"/>
    <xf numFmtId="3" fontId="20" fillId="0" borderId="428" xfId="0" applyNumberFormat="1" applyFont="1" applyFill="1" applyBorder="1" applyAlignment="1" applyProtection="1"/>
    <xf numFmtId="0" fontId="43" fillId="0" borderId="33" xfId="0" applyFont="1" applyFill="1" applyBorder="1" applyAlignment="1" applyProtection="1">
      <alignment wrapText="1"/>
    </xf>
    <xf numFmtId="3" fontId="50" fillId="0" borderId="0" xfId="0" applyNumberFormat="1" applyFont="1" applyFill="1" applyBorder="1" applyAlignment="1" applyProtection="1">
      <alignment horizontal="left"/>
    </xf>
    <xf numFmtId="0" fontId="43" fillId="7" borderId="0" xfId="0" applyFont="1" applyFill="1" applyBorder="1" applyAlignment="1" applyProtection="1">
      <alignment vertical="center"/>
    </xf>
    <xf numFmtId="0" fontId="40" fillId="7" borderId="0" xfId="0" applyFont="1" applyFill="1" applyBorder="1" applyAlignment="1" applyProtection="1">
      <alignment vertical="center"/>
    </xf>
    <xf numFmtId="0" fontId="59" fillId="7" borderId="0" xfId="0" applyFont="1" applyFill="1" applyBorder="1" applyAlignment="1" applyProtection="1">
      <alignment horizontal="left" vertical="center"/>
    </xf>
    <xf numFmtId="0" fontId="43" fillId="7" borderId="0" xfId="0" applyFont="1" applyFill="1" applyAlignment="1" applyProtection="1">
      <alignment vertical="center"/>
    </xf>
    <xf numFmtId="0" fontId="59" fillId="7" borderId="0" xfId="0" applyFont="1" applyFill="1" applyBorder="1" applyAlignment="1" applyProtection="1">
      <alignment horizontal="right" vertical="center"/>
    </xf>
    <xf numFmtId="0" fontId="46" fillId="18" borderId="258" xfId="0" applyFont="1" applyFill="1" applyBorder="1" applyAlignment="1" applyProtection="1">
      <alignment horizontal="center" vertical="center"/>
    </xf>
    <xf numFmtId="0" fontId="46" fillId="18" borderId="254" xfId="0" applyFont="1" applyFill="1" applyBorder="1" applyAlignment="1" applyProtection="1">
      <alignment horizontal="center" vertical="center"/>
    </xf>
    <xf numFmtId="0" fontId="46" fillId="18" borderId="255"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6" fillId="8" borderId="264" xfId="0" applyFont="1" applyFill="1" applyBorder="1" applyAlignment="1" applyProtection="1">
      <alignment horizontal="center" vertical="center"/>
    </xf>
    <xf numFmtId="0" fontId="46" fillId="8" borderId="338" xfId="0" applyFont="1" applyFill="1" applyBorder="1" applyAlignment="1" applyProtection="1">
      <alignment horizontal="center" vertical="center"/>
    </xf>
    <xf numFmtId="0" fontId="46" fillId="8" borderId="266" xfId="0" applyFont="1" applyFill="1" applyBorder="1" applyAlignment="1" applyProtection="1">
      <alignment horizontal="center" vertical="center"/>
    </xf>
    <xf numFmtId="5" fontId="43" fillId="6" borderId="349" xfId="0" applyNumberFormat="1" applyFont="1" applyFill="1" applyBorder="1" applyAlignment="1" applyProtection="1">
      <alignment horizontal="right" vertical="center"/>
    </xf>
    <xf numFmtId="5" fontId="43" fillId="6" borderId="350" xfId="0" applyNumberFormat="1" applyFont="1" applyFill="1" applyBorder="1" applyAlignment="1" applyProtection="1">
      <alignment horizontal="right" vertical="center"/>
    </xf>
    <xf numFmtId="5" fontId="43" fillId="6" borderId="351" xfId="0" applyNumberFormat="1" applyFont="1" applyFill="1" applyBorder="1" applyAlignment="1" applyProtection="1">
      <alignment horizontal="right" vertical="center"/>
    </xf>
    <xf numFmtId="5" fontId="46" fillId="8" borderId="2" xfId="0" applyNumberFormat="1" applyFont="1" applyFill="1" applyBorder="1" applyAlignment="1" applyProtection="1">
      <alignment vertical="center"/>
    </xf>
    <xf numFmtId="5" fontId="46" fillId="8" borderId="0" xfId="0" applyNumberFormat="1" applyFont="1" applyFill="1" applyBorder="1" applyAlignment="1" applyProtection="1">
      <alignment vertical="center"/>
    </xf>
    <xf numFmtId="5" fontId="46" fillId="8" borderId="3" xfId="0" applyNumberFormat="1" applyFont="1" applyFill="1" applyBorder="1" applyAlignment="1" applyProtection="1">
      <alignment vertical="center"/>
    </xf>
    <xf numFmtId="5" fontId="46" fillId="6" borderId="320" xfId="0" applyNumberFormat="1" applyFont="1" applyFill="1" applyBorder="1" applyAlignment="1" applyProtection="1">
      <alignment vertical="center"/>
    </xf>
    <xf numFmtId="5" fontId="46" fillId="6" borderId="321" xfId="0" applyNumberFormat="1" applyFont="1" applyFill="1" applyBorder="1" applyAlignment="1" applyProtection="1">
      <alignment vertical="center"/>
    </xf>
    <xf numFmtId="5" fontId="46" fillId="6" borderId="322" xfId="0" applyNumberFormat="1" applyFont="1" applyFill="1" applyBorder="1" applyAlignment="1" applyProtection="1">
      <alignment vertical="center"/>
    </xf>
    <xf numFmtId="0" fontId="40" fillId="25" borderId="0" xfId="0" applyFont="1" applyFill="1" applyBorder="1" applyAlignment="1" applyProtection="1">
      <alignment vertical="center"/>
    </xf>
    <xf numFmtId="0" fontId="59" fillId="25" borderId="0" xfId="0" applyFont="1" applyFill="1" applyBorder="1" applyAlignment="1" applyProtection="1">
      <alignment horizontal="left" vertical="center"/>
    </xf>
    <xf numFmtId="0" fontId="59" fillId="25" borderId="0" xfId="0" applyFont="1" applyFill="1" applyBorder="1" applyAlignment="1" applyProtection="1">
      <alignment horizontal="right" vertical="center"/>
    </xf>
    <xf numFmtId="0" fontId="46" fillId="18" borderId="257" xfId="0" applyFont="1" applyFill="1" applyBorder="1" applyAlignment="1" applyProtection="1">
      <alignment horizontal="center" vertical="center" wrapText="1"/>
    </xf>
    <xf numFmtId="0" fontId="46" fillId="6" borderId="392" xfId="0" applyNumberFormat="1" applyFont="1" applyFill="1" applyBorder="1" applyAlignment="1" applyProtection="1">
      <alignment vertical="center"/>
    </xf>
    <xf numFmtId="0" fontId="46" fillId="6" borderId="364" xfId="0" applyNumberFormat="1" applyFont="1" applyFill="1" applyBorder="1" applyAlignment="1" applyProtection="1">
      <alignment vertical="center"/>
    </xf>
    <xf numFmtId="0" fontId="46" fillId="6" borderId="389" xfId="0" applyNumberFormat="1" applyFont="1" applyFill="1" applyBorder="1" applyAlignment="1" applyProtection="1">
      <alignment vertical="center"/>
    </xf>
    <xf numFmtId="6" fontId="43" fillId="6" borderId="349" xfId="0" applyNumberFormat="1" applyFont="1" applyFill="1" applyBorder="1" applyAlignment="1" applyProtection="1">
      <alignment horizontal="right" vertical="center"/>
    </xf>
    <xf numFmtId="6" fontId="43" fillId="6" borderId="350" xfId="0" applyNumberFormat="1" applyFont="1" applyFill="1" applyBorder="1" applyAlignment="1" applyProtection="1">
      <alignment horizontal="right" vertical="center"/>
    </xf>
    <xf numFmtId="6" fontId="43" fillId="6" borderId="351" xfId="0" applyNumberFormat="1" applyFont="1" applyFill="1" applyBorder="1" applyAlignment="1" applyProtection="1">
      <alignment horizontal="right" vertical="center"/>
    </xf>
    <xf numFmtId="6" fontId="43" fillId="8" borderId="2" xfId="0" applyNumberFormat="1" applyFont="1" applyFill="1" applyBorder="1" applyAlignment="1" applyProtection="1">
      <alignment horizontal="right" vertical="center"/>
    </xf>
    <xf numFmtId="6" fontId="43" fillId="8" borderId="0" xfId="0" applyNumberFormat="1" applyFont="1" applyFill="1" applyBorder="1" applyAlignment="1" applyProtection="1">
      <alignment horizontal="right" vertical="center"/>
    </xf>
    <xf numFmtId="6" fontId="43" fillId="8" borderId="3" xfId="0" applyNumberFormat="1" applyFont="1" applyFill="1" applyBorder="1" applyAlignment="1" applyProtection="1">
      <alignment horizontal="right" vertical="center"/>
    </xf>
    <xf numFmtId="0" fontId="46" fillId="0" borderId="0" xfId="0" applyFont="1" applyFill="1" applyBorder="1" applyAlignment="1" applyProtection="1">
      <alignment horizontal="left" vertical="center"/>
    </xf>
    <xf numFmtId="6" fontId="43" fillId="6" borderId="324" xfId="0" applyNumberFormat="1" applyFont="1" applyFill="1" applyBorder="1" applyAlignment="1" applyProtection="1">
      <alignment horizontal="right" vertical="center"/>
    </xf>
    <xf numFmtId="6" fontId="43" fillId="6" borderId="325" xfId="0" applyNumberFormat="1" applyFont="1" applyFill="1" applyBorder="1" applyAlignment="1" applyProtection="1">
      <alignment horizontal="right" vertical="center"/>
    </xf>
    <xf numFmtId="6" fontId="43" fillId="6" borderId="326" xfId="0" applyNumberFormat="1" applyFont="1" applyFill="1" applyBorder="1" applyAlignment="1" applyProtection="1">
      <alignment horizontal="right" vertical="center"/>
    </xf>
    <xf numFmtId="6" fontId="46" fillId="6" borderId="327" xfId="0" applyNumberFormat="1" applyFont="1" applyFill="1" applyBorder="1" applyAlignment="1" applyProtection="1">
      <alignment vertical="center"/>
    </xf>
    <xf numFmtId="6" fontId="46" fillId="6" borderId="328" xfId="0" applyNumberFormat="1" applyFont="1" applyFill="1" applyBorder="1" applyAlignment="1" applyProtection="1">
      <alignment vertical="center"/>
    </xf>
    <xf numFmtId="6" fontId="46" fillId="6" borderId="259" xfId="0" applyNumberFormat="1" applyFont="1" applyFill="1" applyBorder="1" applyAlignment="1" applyProtection="1">
      <alignment vertical="center"/>
    </xf>
    <xf numFmtId="0" fontId="18" fillId="24" borderId="0" xfId="0" applyFont="1" applyFill="1" applyBorder="1" applyProtection="1"/>
    <xf numFmtId="6" fontId="43" fillId="6" borderId="414" xfId="0" applyNumberFormat="1" applyFont="1" applyFill="1" applyBorder="1" applyAlignment="1" applyProtection="1">
      <alignment horizontal="right" vertical="center"/>
    </xf>
    <xf numFmtId="6" fontId="43" fillId="6" borderId="415" xfId="0" applyNumberFormat="1" applyFont="1" applyFill="1" applyBorder="1" applyAlignment="1" applyProtection="1">
      <alignment horizontal="right" vertical="center"/>
    </xf>
    <xf numFmtId="6" fontId="43" fillId="6" borderId="416" xfId="0" applyNumberFormat="1" applyFont="1" applyFill="1" applyBorder="1" applyAlignment="1" applyProtection="1">
      <alignment horizontal="right" vertical="center"/>
    </xf>
    <xf numFmtId="6" fontId="43" fillId="6" borderId="417" xfId="0" applyNumberFormat="1" applyFont="1" applyFill="1" applyBorder="1" applyAlignment="1" applyProtection="1">
      <alignment horizontal="right" vertical="center"/>
    </xf>
    <xf numFmtId="6" fontId="43" fillId="6" borderId="418" xfId="0" applyNumberFormat="1" applyFont="1" applyFill="1" applyBorder="1" applyAlignment="1" applyProtection="1">
      <alignment horizontal="right" vertical="center"/>
    </xf>
    <xf numFmtId="6" fontId="43" fillId="6" borderId="419" xfId="0" applyNumberFormat="1" applyFont="1" applyFill="1" applyBorder="1" applyAlignment="1" applyProtection="1">
      <alignment horizontal="right" vertical="center"/>
    </xf>
    <xf numFmtId="6" fontId="43" fillId="6" borderId="307" xfId="0" applyNumberFormat="1" applyFont="1" applyFill="1" applyBorder="1" applyAlignment="1" applyProtection="1">
      <alignment horizontal="right" vertical="center"/>
    </xf>
    <xf numFmtId="6" fontId="43" fillId="6" borderId="308" xfId="0" applyNumberFormat="1" applyFont="1" applyFill="1" applyBorder="1" applyAlignment="1" applyProtection="1">
      <alignment horizontal="right" vertical="center"/>
    </xf>
    <xf numFmtId="6" fontId="43" fillId="6" borderId="348" xfId="0" applyNumberFormat="1" applyFont="1" applyFill="1" applyBorder="1" applyAlignment="1" applyProtection="1">
      <alignment horizontal="right" vertical="center"/>
    </xf>
    <xf numFmtId="0" fontId="46" fillId="18" borderId="257" xfId="0" applyFont="1" applyFill="1" applyBorder="1" applyAlignment="1" applyProtection="1">
      <alignment horizontal="center" vertical="center"/>
    </xf>
    <xf numFmtId="0" fontId="46" fillId="18" borderId="302" xfId="0" applyFont="1" applyFill="1" applyBorder="1" applyAlignment="1" applyProtection="1">
      <alignment horizontal="center" vertical="center"/>
    </xf>
    <xf numFmtId="6" fontId="46" fillId="6" borderId="349" xfId="0" applyNumberFormat="1" applyFont="1" applyFill="1" applyBorder="1" applyAlignment="1" applyProtection="1">
      <alignment vertical="center"/>
    </xf>
    <xf numFmtId="6" fontId="46" fillId="6" borderId="350" xfId="0" applyNumberFormat="1" applyFont="1" applyFill="1" applyBorder="1" applyAlignment="1" applyProtection="1">
      <alignment vertical="center"/>
    </xf>
    <xf numFmtId="6" fontId="46" fillId="6" borderId="351" xfId="0" applyNumberFormat="1" applyFont="1" applyFill="1" applyBorder="1" applyAlignment="1" applyProtection="1">
      <alignment vertical="center"/>
    </xf>
    <xf numFmtId="6" fontId="46" fillId="8" borderId="2" xfId="0" applyNumberFormat="1" applyFont="1" applyFill="1" applyBorder="1" applyAlignment="1" applyProtection="1">
      <alignment vertical="center"/>
    </xf>
    <xf numFmtId="6" fontId="46" fillId="8" borderId="0" xfId="0" applyNumberFormat="1" applyFont="1" applyFill="1" applyBorder="1" applyAlignment="1" applyProtection="1">
      <alignment vertical="center"/>
    </xf>
    <xf numFmtId="6" fontId="46" fillId="8" borderId="3" xfId="0" applyNumberFormat="1" applyFont="1" applyFill="1" applyBorder="1" applyAlignment="1" applyProtection="1">
      <alignment vertical="center"/>
    </xf>
    <xf numFmtId="6" fontId="43" fillId="6" borderId="320" xfId="0" applyNumberFormat="1" applyFont="1" applyFill="1" applyBorder="1" applyAlignment="1" applyProtection="1">
      <alignment vertical="center"/>
    </xf>
    <xf numFmtId="6" fontId="46" fillId="6" borderId="321" xfId="0" applyNumberFormat="1" applyFont="1" applyFill="1" applyBorder="1" applyAlignment="1" applyProtection="1">
      <alignment vertical="center"/>
    </xf>
    <xf numFmtId="6" fontId="46" fillId="6" borderId="322" xfId="0" applyNumberFormat="1" applyFont="1" applyFill="1" applyBorder="1" applyAlignment="1" applyProtection="1">
      <alignment vertical="center"/>
    </xf>
    <xf numFmtId="6" fontId="46" fillId="6" borderId="304" xfId="0" applyNumberFormat="1" applyFont="1" applyFill="1" applyBorder="1" applyAlignment="1" applyProtection="1">
      <alignment vertical="center"/>
    </xf>
    <xf numFmtId="6" fontId="46" fillId="6" borderId="309" xfId="0" applyNumberFormat="1" applyFont="1" applyFill="1" applyBorder="1" applyAlignment="1" applyProtection="1">
      <alignment vertical="center"/>
    </xf>
    <xf numFmtId="6" fontId="46" fillId="6" borderId="305" xfId="0" applyNumberFormat="1" applyFont="1" applyFill="1" applyBorder="1" applyAlignment="1" applyProtection="1">
      <alignment vertical="center"/>
    </xf>
    <xf numFmtId="6" fontId="46" fillId="6" borderId="306" xfId="0" applyNumberFormat="1" applyFont="1" applyFill="1" applyBorder="1" applyAlignment="1" applyProtection="1">
      <alignment vertical="center"/>
    </xf>
    <xf numFmtId="6" fontId="43" fillId="6" borderId="355" xfId="0" applyNumberFormat="1" applyFont="1" applyFill="1" applyBorder="1" applyAlignment="1" applyProtection="1">
      <alignment horizontal="right" vertical="center"/>
    </xf>
    <xf numFmtId="0" fontId="46" fillId="18" borderId="270" xfId="0" applyFont="1" applyFill="1" applyBorder="1" applyAlignment="1" applyProtection="1">
      <alignment horizontal="center" vertical="center"/>
    </xf>
    <xf numFmtId="0" fontId="46" fillId="18" borderId="271" xfId="0" applyFont="1" applyFill="1" applyBorder="1" applyAlignment="1" applyProtection="1">
      <alignment horizontal="center" vertical="center"/>
    </xf>
    <xf numFmtId="0" fontId="46" fillId="18" borderId="272" xfId="0" applyFont="1" applyFill="1" applyBorder="1" applyAlignment="1" applyProtection="1">
      <alignment horizontal="center" vertical="center"/>
    </xf>
    <xf numFmtId="0" fontId="43" fillId="0" borderId="297" xfId="0" applyFont="1" applyFill="1" applyBorder="1" applyAlignment="1" applyProtection="1">
      <alignment horizontal="left" vertical="center"/>
    </xf>
    <xf numFmtId="0" fontId="43" fillId="0" borderId="298" xfId="0" applyFont="1" applyFill="1" applyBorder="1" applyAlignment="1" applyProtection="1">
      <alignment vertical="center"/>
    </xf>
    <xf numFmtId="0" fontId="43" fillId="0" borderId="299" xfId="0" applyFont="1" applyFill="1" applyBorder="1" applyAlignment="1" applyProtection="1">
      <alignment vertical="center"/>
    </xf>
    <xf numFmtId="0" fontId="43" fillId="0" borderId="294" xfId="0" applyFont="1" applyFill="1" applyBorder="1" applyAlignment="1" applyProtection="1">
      <alignment horizontal="left" vertical="center"/>
    </xf>
    <xf numFmtId="0" fontId="43" fillId="0" borderId="0" xfId="0" applyFont="1" applyFill="1" applyBorder="1" applyAlignment="1" applyProtection="1">
      <alignment vertical="center"/>
    </xf>
    <xf numFmtId="0" fontId="43" fillId="0" borderId="296" xfId="0" applyFont="1" applyFill="1" applyBorder="1" applyAlignment="1" applyProtection="1">
      <alignment vertical="center"/>
    </xf>
    <xf numFmtId="0" fontId="43" fillId="0" borderId="294" xfId="0" applyFont="1" applyFill="1" applyBorder="1" applyAlignment="1" applyProtection="1">
      <alignment vertical="center"/>
    </xf>
    <xf numFmtId="0" fontId="43" fillId="0" borderId="0" xfId="0" applyFont="1" applyFill="1" applyAlignment="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59" fillId="0" borderId="296" xfId="0" applyFont="1" applyFill="1" applyBorder="1" applyAlignment="1" applyProtection="1">
      <alignment horizontal="left" vertical="center"/>
    </xf>
    <xf numFmtId="0" fontId="68" fillId="0" borderId="0" xfId="0" applyFont="1" applyFill="1" applyBorder="1" applyAlignment="1" applyProtection="1">
      <alignment vertical="center"/>
    </xf>
    <xf numFmtId="0" fontId="43" fillId="0" borderId="32" xfId="0" applyFont="1" applyFill="1" applyBorder="1" applyAlignment="1" applyProtection="1">
      <alignment vertical="center"/>
    </xf>
    <xf numFmtId="0" fontId="40" fillId="0" borderId="0" xfId="0" applyFont="1" applyFill="1" applyBorder="1" applyAlignment="1" applyProtection="1">
      <alignment vertical="center"/>
    </xf>
    <xf numFmtId="0" fontId="59" fillId="0" borderId="33" xfId="0" applyFont="1" applyFill="1" applyBorder="1" applyAlignment="1" applyProtection="1">
      <alignment horizontal="left" vertical="center"/>
    </xf>
    <xf numFmtId="0" fontId="43" fillId="0" borderId="334" xfId="0" applyFont="1" applyFill="1" applyBorder="1" applyAlignment="1" applyProtection="1">
      <alignment horizontal="left" vertical="center" indent="1"/>
    </xf>
    <xf numFmtId="5" fontId="43" fillId="0" borderId="316" xfId="0" applyNumberFormat="1" applyFont="1" applyFill="1" applyBorder="1" applyAlignment="1" applyProtection="1">
      <alignment horizontal="right" vertical="center"/>
      <protection locked="0"/>
    </xf>
    <xf numFmtId="5" fontId="43" fillId="0" borderId="317" xfId="0" applyNumberFormat="1" applyFont="1" applyFill="1" applyBorder="1" applyAlignment="1" applyProtection="1">
      <alignment horizontal="right" vertical="center"/>
      <protection locked="0"/>
    </xf>
    <xf numFmtId="0" fontId="43" fillId="0" borderId="332" xfId="0" applyFont="1" applyFill="1" applyBorder="1" applyAlignment="1" applyProtection="1">
      <alignment horizontal="left" vertical="center" indent="1"/>
    </xf>
    <xf numFmtId="0" fontId="43" fillId="0" borderId="332" xfId="0" applyFont="1" applyFill="1" applyBorder="1" applyAlignment="1" applyProtection="1">
      <alignment vertical="center"/>
    </xf>
    <xf numFmtId="0" fontId="46" fillId="0" borderId="394"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quotePrefix="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303" xfId="0" applyFont="1" applyFill="1" applyBorder="1" applyAlignment="1" applyProtection="1">
      <alignment vertical="center"/>
    </xf>
    <xf numFmtId="0" fontId="46" fillId="0" borderId="303" xfId="0" quotePrefix="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8" fillId="0" borderId="334" xfId="0" applyFont="1" applyFill="1" applyBorder="1" applyAlignment="1" applyProtection="1">
      <alignment vertical="center"/>
    </xf>
    <xf numFmtId="0" fontId="48" fillId="0" borderId="30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center"/>
    </xf>
    <xf numFmtId="0" fontId="40" fillId="0" borderId="0" xfId="0" applyFont="1" applyFill="1" applyBorder="1" applyAlignment="1" applyProtection="1">
      <alignment horizontal="center"/>
    </xf>
    <xf numFmtId="0" fontId="43" fillId="0" borderId="339" xfId="0" applyFont="1" applyFill="1" applyBorder="1" applyAlignment="1" applyProtection="1">
      <alignment horizontal="left" vertical="center" indent="1"/>
    </xf>
    <xf numFmtId="0" fontId="46" fillId="0" borderId="339" xfId="0" applyFont="1" applyFill="1" applyBorder="1" applyAlignment="1" applyProtection="1">
      <alignment vertical="center"/>
    </xf>
    <xf numFmtId="0" fontId="43" fillId="0" borderId="339" xfId="0" applyFont="1" applyFill="1" applyBorder="1" applyAlignment="1" applyProtection="1">
      <alignment vertical="center"/>
    </xf>
    <xf numFmtId="0" fontId="43" fillId="0" borderId="335" xfId="0" applyFont="1" applyFill="1" applyBorder="1" applyAlignment="1" applyProtection="1">
      <alignment vertical="center"/>
    </xf>
    <xf numFmtId="6" fontId="43" fillId="0" borderId="377" xfId="0" applyNumberFormat="1" applyFont="1" applyFill="1" applyBorder="1" applyAlignment="1" applyProtection="1">
      <alignment vertical="center"/>
      <protection locked="0"/>
    </xf>
    <xf numFmtId="6" fontId="43" fillId="0" borderId="378" xfId="0" applyNumberFormat="1" applyFont="1" applyFill="1" applyBorder="1" applyAlignment="1" applyProtection="1">
      <alignment vertical="center"/>
      <protection locked="0"/>
    </xf>
    <xf numFmtId="6" fontId="43" fillId="0" borderId="379" xfId="0" applyNumberFormat="1" applyFont="1" applyFill="1" applyBorder="1" applyAlignment="1" applyProtection="1">
      <alignment vertical="center"/>
      <protection locked="0"/>
    </xf>
    <xf numFmtId="0" fontId="58" fillId="0" borderId="294" xfId="0" applyFont="1" applyFill="1" applyBorder="1" applyAlignment="1" applyProtection="1">
      <alignment vertical="center"/>
    </xf>
    <xf numFmtId="0" fontId="43" fillId="0" borderId="340" xfId="0" applyFont="1" applyFill="1" applyBorder="1" applyAlignment="1" applyProtection="1">
      <alignment horizontal="left" vertical="center" indent="1"/>
    </xf>
    <xf numFmtId="0" fontId="46" fillId="0" borderId="340" xfId="0" applyFont="1" applyFill="1" applyBorder="1" applyAlignment="1" applyProtection="1">
      <alignment vertical="center"/>
    </xf>
    <xf numFmtId="0" fontId="43" fillId="0" borderId="340" xfId="0" applyFont="1" applyFill="1" applyBorder="1" applyAlignment="1" applyProtection="1">
      <alignment vertical="center"/>
    </xf>
    <xf numFmtId="0" fontId="43" fillId="0" borderId="330" xfId="0" applyFont="1" applyFill="1" applyBorder="1" applyAlignment="1" applyProtection="1">
      <alignment vertical="center"/>
    </xf>
    <xf numFmtId="6" fontId="43" fillId="0" borderId="380" xfId="0" applyNumberFormat="1" applyFont="1" applyFill="1" applyBorder="1" applyAlignment="1" applyProtection="1">
      <alignment vertical="center"/>
      <protection locked="0"/>
    </xf>
    <xf numFmtId="6" fontId="43" fillId="0" borderId="381" xfId="0" applyNumberFormat="1" applyFont="1" applyFill="1" applyBorder="1" applyAlignment="1" applyProtection="1">
      <alignment vertical="center"/>
      <protection locked="0"/>
    </xf>
    <xf numFmtId="6" fontId="43" fillId="0" borderId="382" xfId="0" applyNumberFormat="1" applyFont="1" applyFill="1" applyBorder="1" applyAlignment="1" applyProtection="1">
      <alignment vertical="center"/>
      <protection locked="0"/>
    </xf>
    <xf numFmtId="0" fontId="70" fillId="0" borderId="294" xfId="0" applyFont="1" applyFill="1" applyBorder="1" applyAlignment="1" applyProtection="1">
      <alignment vertical="center"/>
    </xf>
    <xf numFmtId="7" fontId="43" fillId="0" borderId="296" xfId="0" applyNumberFormat="1" applyFont="1" applyFill="1" applyBorder="1" applyAlignment="1" applyProtection="1">
      <alignment vertical="center"/>
    </xf>
    <xf numFmtId="0" fontId="43" fillId="0" borderId="6" xfId="0" applyFont="1" applyFill="1" applyBorder="1" applyAlignment="1" applyProtection="1">
      <alignment horizontal="left" vertical="center" indent="1"/>
    </xf>
    <xf numFmtId="0" fontId="46" fillId="0" borderId="6" xfId="0" applyFont="1" applyFill="1" applyBorder="1" applyAlignment="1" applyProtection="1">
      <alignment vertical="center"/>
    </xf>
    <xf numFmtId="0" fontId="43" fillId="0" borderId="6" xfId="0" applyFont="1" applyFill="1" applyBorder="1" applyAlignment="1" applyProtection="1">
      <alignment vertical="center"/>
    </xf>
    <xf numFmtId="6" fontId="43" fillId="0" borderId="383" xfId="0" applyNumberFormat="1" applyFont="1" applyFill="1" applyBorder="1" applyAlignment="1" applyProtection="1">
      <alignment vertical="center"/>
      <protection locked="0"/>
    </xf>
    <xf numFmtId="6" fontId="43" fillId="0" borderId="384" xfId="0" applyNumberFormat="1" applyFont="1" applyFill="1" applyBorder="1" applyAlignment="1" applyProtection="1">
      <alignment vertical="center"/>
      <protection locked="0"/>
    </xf>
    <xf numFmtId="6" fontId="43" fillId="0" borderId="385" xfId="0" applyNumberFormat="1" applyFont="1" applyFill="1" applyBorder="1" applyAlignment="1" applyProtection="1">
      <alignment vertical="center"/>
      <protection locked="0"/>
    </xf>
    <xf numFmtId="0" fontId="43" fillId="0" borderId="334" xfId="0" applyFont="1" applyFill="1" applyBorder="1" applyAlignment="1" applyProtection="1">
      <alignment horizontal="left" vertical="center"/>
    </xf>
    <xf numFmtId="0" fontId="46" fillId="0" borderId="334" xfId="0" applyFont="1" applyFill="1" applyBorder="1" applyAlignment="1" applyProtection="1">
      <alignment vertical="center"/>
    </xf>
    <xf numFmtId="6" fontId="43" fillId="0" borderId="315" xfId="0" applyNumberFormat="1" applyFont="1" applyFill="1" applyBorder="1" applyAlignment="1" applyProtection="1">
      <alignment horizontal="right" vertical="center"/>
      <protection locked="0"/>
    </xf>
    <xf numFmtId="0" fontId="43" fillId="0" borderId="6" xfId="0" applyFont="1" applyFill="1" applyBorder="1" applyAlignment="1" applyProtection="1">
      <alignment horizontal="left" vertical="center"/>
    </xf>
    <xf numFmtId="44" fontId="46" fillId="0" borderId="0" xfId="0" applyNumberFormat="1" applyFont="1" applyFill="1" applyBorder="1" applyAlignment="1" applyProtection="1">
      <alignment vertical="center"/>
    </xf>
    <xf numFmtId="6" fontId="43" fillId="0" borderId="396" xfId="0" applyNumberFormat="1" applyFont="1" applyFill="1" applyBorder="1" applyAlignment="1" applyProtection="1">
      <alignment vertical="center"/>
      <protection locked="0"/>
    </xf>
    <xf numFmtId="6" fontId="43" fillId="0" borderId="395" xfId="0" applyNumberFormat="1" applyFont="1" applyFill="1" applyBorder="1" applyAlignment="1" applyProtection="1">
      <alignment vertical="center"/>
      <protection locked="0"/>
    </xf>
    <xf numFmtId="0" fontId="46" fillId="0" borderId="303" xfId="0" applyFont="1" applyFill="1" applyBorder="1" applyAlignment="1" applyProtection="1">
      <alignment horizontal="left" vertical="center"/>
    </xf>
    <xf numFmtId="0" fontId="43" fillId="0" borderId="303" xfId="0" applyFont="1" applyFill="1" applyBorder="1" applyAlignment="1" applyProtection="1">
      <alignment vertical="center"/>
    </xf>
    <xf numFmtId="0" fontId="46" fillId="0" borderId="0" xfId="0" applyNumberFormat="1" applyFont="1" applyFill="1" applyBorder="1" applyAlignment="1" applyProtection="1">
      <alignment vertical="center"/>
    </xf>
    <xf numFmtId="6" fontId="46" fillId="0" borderId="251" xfId="0" applyNumberFormat="1" applyFont="1" applyFill="1" applyBorder="1" applyAlignment="1" applyProtection="1">
      <alignment vertical="center"/>
    </xf>
    <xf numFmtId="0" fontId="40" fillId="0" borderId="35" xfId="0" applyFont="1" applyFill="1" applyBorder="1" applyAlignment="1" applyProtection="1">
      <alignment vertical="center"/>
    </xf>
    <xf numFmtId="0" fontId="43" fillId="0" borderId="0" xfId="0" applyFont="1" applyFill="1" applyBorder="1" applyAlignment="1" applyProtection="1">
      <alignment horizontal="left" vertical="center" indent="1"/>
    </xf>
    <xf numFmtId="6" fontId="43" fillId="0" borderId="316" xfId="0" applyNumberFormat="1" applyFont="1" applyFill="1" applyBorder="1" applyAlignment="1" applyProtection="1">
      <alignment horizontal="right" vertical="center"/>
      <protection locked="0"/>
    </xf>
    <xf numFmtId="6" fontId="43" fillId="0" borderId="317" xfId="0" applyNumberFormat="1" applyFont="1" applyFill="1" applyBorder="1" applyAlignment="1" applyProtection="1">
      <alignment horizontal="right" vertical="center"/>
      <protection locked="0"/>
    </xf>
    <xf numFmtId="0" fontId="48" fillId="0" borderId="0" xfId="0" applyFont="1" applyFill="1" applyBorder="1" applyAlignment="1" applyProtection="1">
      <alignment vertical="center"/>
    </xf>
    <xf numFmtId="10" fontId="46" fillId="0" borderId="340" xfId="0" applyNumberFormat="1" applyFont="1" applyFill="1" applyBorder="1" applyAlignment="1" applyProtection="1">
      <alignment horizontal="center" vertical="center"/>
    </xf>
    <xf numFmtId="0" fontId="46" fillId="0" borderId="340" xfId="0" quotePrefix="1" applyFont="1" applyFill="1" applyBorder="1" applyAlignment="1" applyProtection="1">
      <alignment horizontal="center" vertical="center"/>
    </xf>
    <xf numFmtId="0" fontId="46" fillId="0" borderId="6" xfId="0" quotePrefix="1"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6" fontId="43" fillId="0" borderId="320" xfId="0" applyNumberFormat="1" applyFont="1" applyFill="1" applyBorder="1" applyAlignment="1" applyProtection="1">
      <alignment horizontal="right" vertical="center"/>
      <protection locked="0"/>
    </xf>
    <xf numFmtId="6" fontId="43" fillId="0" borderId="321" xfId="0" applyNumberFormat="1" applyFont="1" applyFill="1" applyBorder="1" applyAlignment="1" applyProtection="1">
      <alignment horizontal="right" vertical="center"/>
      <protection locked="0"/>
    </xf>
    <xf numFmtId="6" fontId="43" fillId="0" borderId="322" xfId="0" applyNumberFormat="1" applyFont="1" applyFill="1" applyBorder="1" applyAlignment="1" applyProtection="1">
      <alignment horizontal="right" vertical="center"/>
      <protection locked="0"/>
    </xf>
    <xf numFmtId="0" fontId="22" fillId="0" borderId="0" xfId="0" applyFont="1" applyFill="1" applyProtection="1"/>
    <xf numFmtId="0" fontId="66" fillId="0" borderId="338" xfId="0" applyFont="1" applyFill="1" applyBorder="1" applyAlignment="1" applyProtection="1">
      <alignment horizontal="right" vertical="center"/>
    </xf>
    <xf numFmtId="49" fontId="46" fillId="0" borderId="24" xfId="0" applyNumberFormat="1" applyFont="1" applyFill="1" applyBorder="1" applyAlignment="1" applyProtection="1">
      <alignment vertical="center"/>
    </xf>
    <xf numFmtId="0" fontId="21" fillId="7" borderId="0" xfId="0" applyFont="1" applyFill="1" applyBorder="1" applyAlignment="1" applyProtection="1">
      <alignment vertical="center"/>
    </xf>
    <xf numFmtId="0" fontId="21" fillId="25" borderId="0" xfId="0" applyFont="1" applyFill="1" applyBorder="1" applyAlignment="1" applyProtection="1">
      <alignment vertical="center"/>
    </xf>
    <xf numFmtId="0" fontId="46" fillId="0" borderId="0" xfId="0" applyFont="1" applyFill="1" applyBorder="1" applyAlignment="1" applyProtection="1">
      <alignment horizontal="left" vertical="center" indent="1"/>
    </xf>
    <xf numFmtId="0" fontId="18" fillId="0" borderId="459" xfId="0" applyFont="1" applyFill="1" applyBorder="1" applyProtection="1">
      <protection locked="0"/>
    </xf>
    <xf numFmtId="0" fontId="18" fillId="0" borderId="357" xfId="0" applyFont="1" applyFill="1" applyBorder="1" applyProtection="1">
      <protection locked="0"/>
    </xf>
    <xf numFmtId="0" fontId="46" fillId="0" borderId="0" xfId="0" applyFont="1" applyFill="1" applyBorder="1" applyAlignment="1" applyProtection="1">
      <alignment vertical="center" wrapText="1"/>
    </xf>
    <xf numFmtId="0" fontId="46" fillId="0" borderId="3" xfId="0" applyFont="1" applyFill="1" applyBorder="1" applyAlignment="1" applyProtection="1">
      <alignment vertical="center" wrapText="1"/>
    </xf>
    <xf numFmtId="0" fontId="43" fillId="0" borderId="265" xfId="0" applyFont="1" applyFill="1" applyBorder="1" applyAlignment="1" applyProtection="1">
      <alignment vertical="center"/>
    </xf>
    <xf numFmtId="0" fontId="18" fillId="0" borderId="358" xfId="0" applyFont="1" applyFill="1" applyBorder="1" applyProtection="1">
      <protection locked="0"/>
    </xf>
    <xf numFmtId="0" fontId="43" fillId="22" borderId="2" xfId="0" applyFont="1" applyFill="1" applyBorder="1" applyProtection="1"/>
    <xf numFmtId="0" fontId="18" fillId="22" borderId="0" xfId="0" applyFont="1" applyFill="1" applyBorder="1" applyAlignment="1" applyProtection="1"/>
    <xf numFmtId="0" fontId="18" fillId="22" borderId="0" xfId="0" applyFont="1" applyFill="1" applyBorder="1" applyProtection="1"/>
    <xf numFmtId="0" fontId="18" fillId="22" borderId="3" xfId="0" applyFont="1" applyFill="1" applyBorder="1" applyProtection="1"/>
    <xf numFmtId="0" fontId="18" fillId="5" borderId="423" xfId="0" applyFont="1" applyFill="1" applyBorder="1" applyAlignment="1" applyProtection="1">
      <alignment horizontal="center" vertical="center" wrapText="1"/>
      <protection locked="0"/>
    </xf>
    <xf numFmtId="0" fontId="18" fillId="5" borderId="424" xfId="0" applyFont="1" applyFill="1" applyBorder="1" applyAlignment="1" applyProtection="1">
      <alignment horizontal="center" vertical="center" wrapText="1"/>
      <protection locked="0"/>
    </xf>
    <xf numFmtId="0" fontId="18" fillId="5" borderId="425" xfId="0" applyFont="1" applyFill="1" applyBorder="1" applyAlignment="1" applyProtection="1">
      <alignment horizontal="center" vertical="center"/>
      <protection locked="0"/>
    </xf>
    <xf numFmtId="0" fontId="18" fillId="0" borderId="0" xfId="0" applyFont="1" applyBorder="1" applyAlignment="1" applyProtection="1">
      <alignment wrapText="1"/>
    </xf>
    <xf numFmtId="0" fontId="53" fillId="0" borderId="297" xfId="0" applyFont="1" applyFill="1" applyBorder="1" applyAlignment="1" applyProtection="1">
      <alignment horizontal="left" wrapText="1"/>
    </xf>
    <xf numFmtId="0" fontId="18" fillId="0" borderId="298" xfId="0" applyFont="1" applyFill="1" applyBorder="1" applyAlignment="1" applyProtection="1">
      <alignment wrapText="1"/>
    </xf>
    <xf numFmtId="0" fontId="18" fillId="0" borderId="426" xfId="0" applyFont="1" applyFill="1" applyBorder="1" applyAlignment="1" applyProtection="1">
      <alignment wrapText="1"/>
    </xf>
    <xf numFmtId="0" fontId="18" fillId="0" borderId="299" xfId="0" applyFont="1" applyBorder="1" applyAlignment="1" applyProtection="1">
      <alignment wrapText="1"/>
    </xf>
    <xf numFmtId="0" fontId="53" fillId="0" borderId="294" xfId="0" applyFont="1" applyFill="1" applyBorder="1" applyAlignment="1" applyProtection="1">
      <alignment horizontal="left" wrapText="1"/>
    </xf>
    <xf numFmtId="0" fontId="18" fillId="0" borderId="296" xfId="0" applyFont="1" applyBorder="1" applyAlignment="1" applyProtection="1">
      <alignment wrapText="1"/>
    </xf>
    <xf numFmtId="0" fontId="18" fillId="0" borderId="0" xfId="0" applyFont="1" applyFill="1" applyBorder="1" applyAlignment="1" applyProtection="1">
      <alignment wrapText="1"/>
    </xf>
    <xf numFmtId="0" fontId="43" fillId="0" borderId="294" xfId="0" applyFont="1" applyFill="1" applyBorder="1" applyAlignment="1" applyProtection="1">
      <alignment horizontal="left" wrapText="1"/>
    </xf>
    <xf numFmtId="0" fontId="43" fillId="0" borderId="0" xfId="0" applyFont="1" applyAlignment="1" applyProtection="1">
      <alignment wrapText="1"/>
    </xf>
    <xf numFmtId="0" fontId="43" fillId="0" borderId="296" xfId="0" applyFont="1" applyBorder="1" applyAlignment="1" applyProtection="1">
      <alignment wrapText="1"/>
    </xf>
    <xf numFmtId="0" fontId="43" fillId="0" borderId="0" xfId="0" applyFont="1" applyFill="1" applyBorder="1" applyAlignment="1" applyProtection="1">
      <alignment wrapText="1"/>
    </xf>
    <xf numFmtId="0" fontId="20" fillId="0" borderId="0" xfId="0" applyFont="1" applyFill="1" applyBorder="1" applyAlignment="1" applyProtection="1"/>
    <xf numFmtId="0" fontId="20" fillId="0" borderId="0" xfId="0" applyFont="1" applyFill="1" applyBorder="1" applyAlignment="1" applyProtection="1">
      <alignment wrapText="1"/>
    </xf>
    <xf numFmtId="0" fontId="18" fillId="0" borderId="294" xfId="0" applyFont="1" applyFill="1" applyBorder="1" applyAlignment="1" applyProtection="1">
      <alignment wrapText="1"/>
    </xf>
    <xf numFmtId="0" fontId="46" fillId="18" borderId="302" xfId="0" applyFont="1" applyFill="1" applyBorder="1" applyAlignment="1" applyProtection="1">
      <alignment horizontal="center" vertical="center" wrapText="1"/>
    </xf>
    <xf numFmtId="0" fontId="46" fillId="18" borderId="254" xfId="0" applyFont="1" applyFill="1" applyBorder="1" applyAlignment="1" applyProtection="1">
      <alignment horizontal="center" vertical="center" wrapText="1"/>
    </xf>
    <xf numFmtId="0" fontId="46" fillId="18" borderId="255" xfId="0" applyFont="1" applyFill="1" applyBorder="1" applyAlignment="1" applyProtection="1">
      <alignment horizontal="center" vertical="center" wrapText="1"/>
    </xf>
    <xf numFmtId="0" fontId="74" fillId="0" borderId="294" xfId="0" applyFont="1" applyFill="1" applyBorder="1" applyAlignment="1" applyProtection="1">
      <alignment wrapText="1"/>
    </xf>
    <xf numFmtId="0" fontId="18" fillId="5" borderId="409" xfId="0" applyFont="1" applyFill="1" applyBorder="1" applyAlignment="1" applyProtection="1">
      <alignment horizontal="center" wrapText="1"/>
      <protection locked="0"/>
    </xf>
    <xf numFmtId="0" fontId="18" fillId="5" borderId="406" xfId="0" applyFont="1" applyFill="1" applyBorder="1" applyAlignment="1" applyProtection="1">
      <alignment horizontal="center" wrapText="1"/>
      <protection locked="0"/>
    </xf>
    <xf numFmtId="0" fontId="18" fillId="0" borderId="49" xfId="0" applyFont="1" applyBorder="1" applyAlignment="1" applyProtection="1">
      <alignment horizontal="center" wrapText="1"/>
      <protection locked="0"/>
    </xf>
    <xf numFmtId="0" fontId="18" fillId="0" borderId="49" xfId="0" applyFont="1" applyBorder="1" applyAlignment="1" applyProtection="1">
      <alignment horizontal="left" wrapText="1"/>
      <protection locked="0"/>
    </xf>
    <xf numFmtId="49" fontId="18" fillId="0" borderId="49" xfId="0" applyNumberFormat="1" applyFont="1" applyFill="1" applyBorder="1" applyAlignment="1" applyProtection="1">
      <alignment horizontal="center" wrapText="1"/>
      <protection locked="0"/>
    </xf>
    <xf numFmtId="49" fontId="18" fillId="0" borderId="52" xfId="0" applyNumberFormat="1" applyFont="1" applyFill="1" applyBorder="1" applyAlignment="1" applyProtection="1">
      <alignment horizontal="center" wrapText="1"/>
      <protection locked="0"/>
    </xf>
    <xf numFmtId="0" fontId="18" fillId="5" borderId="410" xfId="0" applyFont="1" applyFill="1" applyBorder="1" applyAlignment="1" applyProtection="1">
      <alignment horizontal="center" wrapText="1"/>
      <protection locked="0"/>
    </xf>
    <xf numFmtId="0" fontId="18" fillId="5" borderId="407" xfId="0" applyFont="1" applyFill="1" applyBorder="1" applyAlignment="1" applyProtection="1">
      <alignment horizontal="center" wrapText="1"/>
      <protection locked="0"/>
    </xf>
    <xf numFmtId="0" fontId="18" fillId="0" borderId="47" xfId="0" applyFont="1" applyBorder="1" applyAlignment="1" applyProtection="1">
      <alignment horizontal="center" wrapText="1"/>
      <protection locked="0"/>
    </xf>
    <xf numFmtId="0" fontId="18" fillId="0" borderId="47" xfId="0" applyFont="1" applyBorder="1" applyAlignment="1" applyProtection="1">
      <alignment horizontal="left" wrapText="1"/>
      <protection locked="0"/>
    </xf>
    <xf numFmtId="49" fontId="18" fillId="0" borderId="47" xfId="0" applyNumberFormat="1" applyFont="1" applyFill="1" applyBorder="1" applyAlignment="1" applyProtection="1">
      <alignment horizontal="center" wrapText="1"/>
      <protection locked="0"/>
    </xf>
    <xf numFmtId="49" fontId="18" fillId="0" borderId="38" xfId="0" applyNumberFormat="1" applyFont="1" applyFill="1" applyBorder="1" applyAlignment="1" applyProtection="1">
      <alignment horizontal="center" wrapText="1"/>
      <protection locked="0"/>
    </xf>
    <xf numFmtId="0" fontId="18" fillId="0" borderId="47" xfId="0" applyFont="1" applyFill="1" applyBorder="1" applyAlignment="1" applyProtection="1">
      <alignment horizontal="center" wrapText="1"/>
      <protection locked="0"/>
    </xf>
    <xf numFmtId="0" fontId="57" fillId="0" borderId="294" xfId="0" applyFont="1" applyFill="1" applyBorder="1" applyAlignment="1" applyProtection="1">
      <alignment wrapText="1"/>
    </xf>
    <xf numFmtId="0" fontId="22" fillId="5" borderId="411" xfId="0" applyFont="1" applyFill="1" applyBorder="1" applyAlignment="1" applyProtection="1">
      <alignment horizontal="center" wrapText="1"/>
      <protection locked="0"/>
    </xf>
    <xf numFmtId="0" fontId="22" fillId="5" borderId="408" xfId="0" applyFont="1" applyFill="1" applyBorder="1" applyAlignment="1" applyProtection="1">
      <alignment horizontal="center" wrapText="1"/>
      <protection locked="0"/>
    </xf>
    <xf numFmtId="0" fontId="22" fillId="0" borderId="51" xfId="0" applyFont="1" applyBorder="1" applyAlignment="1" applyProtection="1">
      <alignment horizontal="center" wrapText="1"/>
      <protection locked="0"/>
    </xf>
    <xf numFmtId="0" fontId="22" fillId="0" borderId="51" xfId="0" applyFont="1" applyBorder="1" applyAlignment="1" applyProtection="1">
      <alignment wrapText="1"/>
      <protection locked="0"/>
    </xf>
    <xf numFmtId="49" fontId="18" fillId="0" borderId="51" xfId="0" applyNumberFormat="1" applyFont="1" applyFill="1" applyBorder="1" applyAlignment="1" applyProtection="1">
      <alignment horizontal="center" wrapText="1"/>
      <protection locked="0"/>
    </xf>
    <xf numFmtId="49" fontId="18" fillId="0" borderId="53" xfId="0" applyNumberFormat="1" applyFont="1" applyFill="1" applyBorder="1" applyAlignment="1" applyProtection="1">
      <alignment horizontal="center" wrapText="1"/>
      <protection locked="0"/>
    </xf>
    <xf numFmtId="0" fontId="18" fillId="0" borderId="49" xfId="0" applyFont="1" applyBorder="1" applyAlignment="1" applyProtection="1">
      <alignment wrapText="1"/>
      <protection locked="0"/>
    </xf>
    <xf numFmtId="0" fontId="18" fillId="0" borderId="47" xfId="0" applyFont="1" applyBorder="1" applyAlignment="1" applyProtection="1">
      <alignment wrapText="1"/>
      <protection locked="0"/>
    </xf>
    <xf numFmtId="0" fontId="18" fillId="0" borderId="47" xfId="0" applyFont="1" applyFill="1" applyBorder="1" applyAlignment="1" applyProtection="1">
      <alignment wrapText="1"/>
      <protection locked="0"/>
    </xf>
    <xf numFmtId="0" fontId="18" fillId="0" borderId="295" xfId="0" applyFont="1" applyFill="1" applyBorder="1" applyAlignment="1" applyProtection="1">
      <alignment wrapText="1"/>
    </xf>
    <xf numFmtId="0" fontId="22" fillId="0" borderId="300" xfId="0" applyFont="1" applyBorder="1" applyAlignment="1" applyProtection="1">
      <alignment wrapText="1"/>
    </xf>
    <xf numFmtId="0" fontId="18" fillId="0" borderId="301" xfId="0" applyFont="1" applyBorder="1" applyAlignment="1" applyProtection="1">
      <alignment wrapText="1"/>
    </xf>
    <xf numFmtId="0" fontId="20" fillId="0" borderId="461" xfId="0" applyFont="1" applyFill="1" applyBorder="1" applyAlignment="1" applyProtection="1"/>
    <xf numFmtId="0" fontId="18" fillId="0" borderId="298" xfId="0" applyFont="1" applyFill="1" applyBorder="1" applyAlignment="1" applyProtection="1"/>
    <xf numFmtId="0" fontId="75" fillId="0" borderId="296" xfId="0" applyFont="1" applyFill="1" applyBorder="1" applyAlignment="1" applyProtection="1">
      <alignment horizontal="left" vertical="center" wrapText="1"/>
    </xf>
    <xf numFmtId="0" fontId="22" fillId="0" borderId="0" xfId="0" applyFont="1" applyBorder="1" applyAlignment="1" applyProtection="1"/>
    <xf numFmtId="0" fontId="18" fillId="5" borderId="411" xfId="0" applyFont="1" applyFill="1" applyBorder="1" applyAlignment="1" applyProtection="1">
      <alignment horizontal="center" wrapText="1"/>
      <protection locked="0"/>
    </xf>
    <xf numFmtId="0" fontId="18" fillId="5" borderId="408" xfId="0" applyFont="1" applyFill="1" applyBorder="1" applyAlignment="1" applyProtection="1">
      <alignment horizontal="center" wrapText="1"/>
      <protection locked="0"/>
    </xf>
    <xf numFmtId="0" fontId="18" fillId="0" borderId="51" xfId="0" applyFont="1" applyBorder="1" applyAlignment="1" applyProtection="1">
      <alignment wrapText="1"/>
      <protection locked="0"/>
    </xf>
    <xf numFmtId="0" fontId="22" fillId="0" borderId="300" xfId="0" applyFont="1" applyBorder="1" applyAlignment="1" applyProtection="1"/>
    <xf numFmtId="0" fontId="20" fillId="0" borderId="6" xfId="0" applyFont="1" applyFill="1" applyBorder="1" applyAlignment="1" applyProtection="1"/>
    <xf numFmtId="0" fontId="18" fillId="0" borderId="405" xfId="0" applyFont="1" applyBorder="1" applyAlignment="1" applyProtection="1">
      <protection locked="0"/>
    </xf>
    <xf numFmtId="0" fontId="18" fillId="0" borderId="332" xfId="0" applyFont="1" applyBorder="1" applyAlignment="1" applyProtection="1">
      <protection locked="0"/>
    </xf>
    <xf numFmtId="0" fontId="18" fillId="0" borderId="332" xfId="0" applyFont="1" applyFill="1" applyBorder="1" applyAlignment="1" applyProtection="1">
      <protection locked="0"/>
    </xf>
    <xf numFmtId="0" fontId="18" fillId="0" borderId="336" xfId="0" applyFont="1" applyBorder="1" applyAlignment="1" applyProtection="1">
      <protection locked="0"/>
    </xf>
    <xf numFmtId="0" fontId="47" fillId="6" borderId="79" xfId="0" applyFont="1" applyFill="1" applyBorder="1" applyAlignment="1" applyProtection="1">
      <alignment vertical="center"/>
    </xf>
    <xf numFmtId="0" fontId="47" fillId="6" borderId="77" xfId="0" applyFont="1" applyFill="1" applyBorder="1" applyAlignment="1" applyProtection="1">
      <alignment vertical="center"/>
    </xf>
    <xf numFmtId="0" fontId="47" fillId="6" borderId="80" xfId="0" applyFont="1" applyFill="1" applyBorder="1" applyAlignment="1" applyProtection="1">
      <alignment vertical="center"/>
    </xf>
    <xf numFmtId="0" fontId="46" fillId="18" borderId="287" xfId="0" applyFont="1" applyFill="1" applyBorder="1" applyAlignment="1" applyProtection="1">
      <alignment vertical="center"/>
    </xf>
    <xf numFmtId="0" fontId="46" fillId="18" borderId="452" xfId="0" applyFont="1" applyFill="1" applyBorder="1" applyAlignment="1" applyProtection="1">
      <alignment vertical="center"/>
    </xf>
    <xf numFmtId="0" fontId="46" fillId="18" borderId="447" xfId="0" applyFont="1" applyFill="1" applyBorder="1" applyAlignment="1" applyProtection="1">
      <alignment horizontal="center" vertical="center" wrapText="1"/>
    </xf>
    <xf numFmtId="0" fontId="18" fillId="0" borderId="62" xfId="0" applyFont="1" applyFill="1" applyBorder="1" applyAlignment="1" applyProtection="1">
      <protection locked="0"/>
    </xf>
    <xf numFmtId="0" fontId="46" fillId="18" borderId="452" xfId="0" applyFont="1" applyFill="1" applyBorder="1" applyAlignment="1" applyProtection="1">
      <alignment vertical="center" wrapText="1"/>
    </xf>
    <xf numFmtId="0" fontId="18" fillId="0" borderId="51" xfId="0" applyFont="1" applyFill="1" applyBorder="1" applyAlignment="1" applyProtection="1">
      <alignment horizontal="center" wrapText="1"/>
      <protection locked="0"/>
    </xf>
    <xf numFmtId="0" fontId="22" fillId="0" borderId="0" xfId="0" applyFont="1" applyBorder="1" applyAlignment="1" applyProtection="1">
      <alignment wrapText="1"/>
    </xf>
    <xf numFmtId="0" fontId="18" fillId="0" borderId="297" xfId="0" applyFont="1" applyFill="1" applyBorder="1" applyAlignment="1" applyProtection="1">
      <alignment horizontal="left" wrapText="1"/>
    </xf>
    <xf numFmtId="0" fontId="18" fillId="0" borderId="294" xfId="0" applyFont="1" applyFill="1" applyBorder="1" applyAlignment="1" applyProtection="1">
      <alignment horizontal="left" wrapText="1"/>
    </xf>
    <xf numFmtId="0" fontId="75" fillId="0" borderId="0" xfId="0" applyFont="1" applyBorder="1" applyAlignment="1" applyProtection="1">
      <alignment horizontal="left" vertical="center" wrapText="1"/>
    </xf>
    <xf numFmtId="49" fontId="18" fillId="0" borderId="390" xfId="0" applyNumberFormat="1" applyFont="1" applyFill="1" applyBorder="1" applyAlignment="1" applyProtection="1">
      <alignment horizontal="center" wrapText="1"/>
      <protection locked="0"/>
    </xf>
    <xf numFmtId="49" fontId="18" fillId="0" borderId="74" xfId="0" applyNumberFormat="1" applyFont="1" applyFill="1" applyBorder="1" applyAlignment="1" applyProtection="1">
      <alignment horizontal="center" wrapText="1"/>
      <protection locked="0"/>
    </xf>
    <xf numFmtId="49" fontId="18" fillId="0" borderId="391" xfId="0" applyNumberFormat="1" applyFont="1" applyFill="1" applyBorder="1" applyAlignment="1" applyProtection="1">
      <alignment horizontal="center" wrapText="1"/>
      <protection locked="0"/>
    </xf>
    <xf numFmtId="0" fontId="18" fillId="0" borderId="466" xfId="0" applyFont="1" applyBorder="1" applyAlignment="1" applyProtection="1">
      <alignment horizontal="center" wrapText="1"/>
      <protection locked="0"/>
    </xf>
    <xf numFmtId="0" fontId="18" fillId="0" borderId="467" xfId="0" applyFont="1" applyBorder="1" applyAlignment="1" applyProtection="1">
      <alignment horizontal="center" wrapText="1"/>
      <protection locked="0"/>
    </xf>
    <xf numFmtId="0" fontId="18" fillId="0" borderId="468" xfId="0" applyFont="1" applyBorder="1" applyAlignment="1" applyProtection="1">
      <alignment horizontal="center" wrapText="1"/>
      <protection locked="0"/>
    </xf>
    <xf numFmtId="0" fontId="18" fillId="0" borderId="129" xfId="0" applyFont="1" applyBorder="1" applyAlignment="1">
      <alignment vertical="center"/>
    </xf>
    <xf numFmtId="0" fontId="18" fillId="0" borderId="4" xfId="0" applyFont="1" applyBorder="1" applyAlignment="1">
      <alignment vertical="center"/>
    </xf>
    <xf numFmtId="44" fontId="3" fillId="3" borderId="97" xfId="0" applyNumberFormat="1" applyFont="1" applyFill="1" applyBorder="1" applyAlignment="1" applyProtection="1">
      <protection locked="0"/>
    </xf>
    <xf numFmtId="0" fontId="0" fillId="0" borderId="128" xfId="0" applyBorder="1"/>
    <xf numFmtId="0" fontId="18" fillId="0" borderId="2" xfId="0" applyFont="1" applyFill="1" applyBorder="1" applyAlignment="1" applyProtection="1">
      <alignment wrapText="1"/>
    </xf>
    <xf numFmtId="0" fontId="18" fillId="0" borderId="2" xfId="0" applyFont="1" applyFill="1" applyBorder="1" applyProtection="1"/>
    <xf numFmtId="0" fontId="18" fillId="0" borderId="28" xfId="0" applyFont="1" applyFill="1" applyBorder="1" applyProtection="1">
      <protection locked="0"/>
    </xf>
    <xf numFmtId="0" fontId="18" fillId="0" borderId="2" xfId="0" applyFont="1" applyFill="1" applyBorder="1" applyAlignment="1" applyProtection="1"/>
    <xf numFmtId="0" fontId="18" fillId="0" borderId="11" xfId="0" applyFont="1" applyFill="1" applyBorder="1" applyProtection="1"/>
    <xf numFmtId="0" fontId="18" fillId="0" borderId="28" xfId="0" applyFont="1" applyFill="1" applyBorder="1" applyAlignment="1" applyProtection="1">
      <alignment horizontal="left"/>
      <protection locked="0"/>
    </xf>
    <xf numFmtId="0" fontId="63" fillId="0" borderId="265" xfId="0" applyFont="1" applyFill="1" applyBorder="1" applyAlignment="1" applyProtection="1"/>
    <xf numFmtId="0" fontId="18" fillId="0" borderId="127" xfId="0" applyFont="1" applyFill="1" applyBorder="1" applyProtection="1"/>
    <xf numFmtId="0" fontId="18" fillId="0" borderId="13" xfId="0" applyFont="1" applyFill="1" applyBorder="1" applyProtection="1"/>
    <xf numFmtId="0" fontId="18" fillId="0" borderId="165" xfId="0" applyFont="1" applyFill="1" applyBorder="1" applyProtection="1"/>
    <xf numFmtId="0" fontId="22" fillId="0" borderId="0" xfId="0" applyFont="1" applyFill="1" applyBorder="1" applyProtection="1"/>
    <xf numFmtId="0" fontId="43" fillId="0" borderId="2" xfId="0" applyFont="1" applyFill="1" applyBorder="1" applyProtection="1"/>
    <xf numFmtId="9" fontId="27" fillId="6" borderId="78" xfId="0" applyNumberFormat="1" applyFont="1" applyFill="1" applyBorder="1" applyAlignment="1" applyProtection="1">
      <alignment vertical="center"/>
    </xf>
    <xf numFmtId="9" fontId="25" fillId="19" borderId="247" xfId="0" applyNumberFormat="1" applyFont="1" applyFill="1" applyBorder="1" applyAlignment="1" applyProtection="1">
      <alignment vertical="center"/>
    </xf>
    <xf numFmtId="9" fontId="25" fillId="19" borderId="207" xfId="0" applyNumberFormat="1" applyFont="1" applyFill="1" applyBorder="1" applyAlignment="1" applyProtection="1">
      <alignment vertical="center"/>
    </xf>
    <xf numFmtId="9" fontId="25" fillId="19" borderId="209" xfId="0" applyNumberFormat="1" applyFont="1" applyFill="1" applyBorder="1" applyAlignment="1" applyProtection="1">
      <alignment vertical="center"/>
    </xf>
    <xf numFmtId="9" fontId="25" fillId="19" borderId="208" xfId="0" applyNumberFormat="1" applyFont="1" applyFill="1" applyBorder="1" applyAlignment="1" applyProtection="1">
      <alignment vertical="center"/>
    </xf>
    <xf numFmtId="0" fontId="55" fillId="0" borderId="0" xfId="0" applyFont="1" applyFill="1" applyBorder="1" applyAlignment="1" applyProtection="1">
      <alignment horizontal="right" vertical="center"/>
    </xf>
    <xf numFmtId="0" fontId="32" fillId="0" borderId="0" xfId="0" applyFont="1" applyFill="1" applyBorder="1" applyAlignment="1" applyProtection="1"/>
    <xf numFmtId="0" fontId="32" fillId="0" borderId="0" xfId="0" applyFont="1" applyFill="1" applyBorder="1" applyProtection="1"/>
    <xf numFmtId="42" fontId="55" fillId="0" borderId="0" xfId="0" applyNumberFormat="1" applyFont="1" applyFill="1" applyBorder="1" applyAlignment="1" applyProtection="1">
      <alignment vertical="center"/>
    </xf>
    <xf numFmtId="166" fontId="43" fillId="0" borderId="273" xfId="0" applyNumberFormat="1" applyFont="1" applyFill="1" applyBorder="1" applyProtection="1">
      <protection locked="0"/>
    </xf>
    <xf numFmtId="166" fontId="43" fillId="0" borderId="274" xfId="0" applyNumberFormat="1" applyFont="1" applyFill="1" applyBorder="1" applyProtection="1">
      <protection locked="0"/>
    </xf>
    <xf numFmtId="166" fontId="43" fillId="0" borderId="275" xfId="0" applyNumberFormat="1" applyFont="1" applyFill="1" applyBorder="1" applyProtection="1">
      <protection locked="0"/>
    </xf>
    <xf numFmtId="166" fontId="43" fillId="0" borderId="65" xfId="0" applyNumberFormat="1" applyFont="1" applyFill="1" applyBorder="1" applyProtection="1">
      <protection locked="0"/>
    </xf>
    <xf numFmtId="166" fontId="43" fillId="0" borderId="66" xfId="0" applyNumberFormat="1" applyFont="1" applyFill="1" applyBorder="1" applyProtection="1">
      <protection locked="0"/>
    </xf>
    <xf numFmtId="166" fontId="43" fillId="0" borderId="67" xfId="0" applyNumberFormat="1" applyFont="1" applyFill="1" applyBorder="1" applyProtection="1">
      <protection locked="0"/>
    </xf>
    <xf numFmtId="166" fontId="43" fillId="0" borderId="68" xfId="0" applyNumberFormat="1" applyFont="1" applyFill="1" applyBorder="1" applyProtection="1">
      <protection locked="0"/>
    </xf>
    <xf numFmtId="166" fontId="43" fillId="0" borderId="69" xfId="0" applyNumberFormat="1" applyFont="1" applyFill="1" applyBorder="1" applyProtection="1">
      <protection locked="0"/>
    </xf>
    <xf numFmtId="166" fontId="43" fillId="0" borderId="70" xfId="0" applyNumberFormat="1" applyFont="1" applyFill="1" applyBorder="1" applyProtection="1">
      <protection locked="0"/>
    </xf>
    <xf numFmtId="166" fontId="43" fillId="6" borderId="286" xfId="0" applyNumberFormat="1" applyFont="1" applyFill="1" applyBorder="1" applyProtection="1"/>
    <xf numFmtId="166" fontId="43" fillId="6" borderId="284" xfId="0" applyNumberFormat="1" applyFont="1" applyFill="1" applyBorder="1" applyProtection="1"/>
    <xf numFmtId="166" fontId="43" fillId="6" borderId="281" xfId="0" applyNumberFormat="1" applyFont="1" applyFill="1" applyBorder="1" applyProtection="1"/>
    <xf numFmtId="5" fontId="43" fillId="6" borderId="163" xfId="0" applyNumberFormat="1" applyFont="1" applyFill="1" applyBorder="1" applyAlignment="1" applyProtection="1">
      <alignment horizontal="right"/>
    </xf>
    <xf numFmtId="5" fontId="43" fillId="6" borderId="473" xfId="0" applyNumberFormat="1" applyFont="1" applyFill="1" applyBorder="1" applyAlignment="1" applyProtection="1">
      <alignment horizontal="right"/>
    </xf>
    <xf numFmtId="0" fontId="40" fillId="18" borderId="474" xfId="0" applyFont="1" applyFill="1" applyBorder="1" applyAlignment="1" applyProtection="1">
      <alignment horizontal="center"/>
    </xf>
    <xf numFmtId="5" fontId="43" fillId="18" borderId="5" xfId="0" applyNumberFormat="1" applyFont="1" applyFill="1" applyBorder="1" applyProtection="1"/>
    <xf numFmtId="166" fontId="18" fillId="6" borderId="155" xfId="0" applyNumberFormat="1" applyFont="1" applyFill="1" applyBorder="1" applyAlignment="1" applyProtection="1">
      <alignment horizontal="right" wrapText="1"/>
    </xf>
    <xf numFmtId="166" fontId="18" fillId="0" borderId="475" xfId="0" applyNumberFormat="1" applyFont="1" applyFill="1" applyBorder="1" applyAlignment="1" applyProtection="1">
      <protection locked="0"/>
    </xf>
    <xf numFmtId="166" fontId="18" fillId="0" borderId="476" xfId="0" applyNumberFormat="1" applyFont="1" applyFill="1" applyBorder="1" applyAlignment="1" applyProtection="1">
      <protection locked="0"/>
    </xf>
    <xf numFmtId="3" fontId="20" fillId="0" borderId="0" xfId="0" applyNumberFormat="1" applyFont="1" applyFill="1" applyBorder="1" applyAlignment="1" applyProtection="1">
      <alignment horizontal="center"/>
    </xf>
    <xf numFmtId="0" fontId="18" fillId="0" borderId="3" xfId="0" applyFont="1" applyFill="1" applyBorder="1" applyAlignment="1" applyProtection="1"/>
    <xf numFmtId="0" fontId="43" fillId="6" borderId="402" xfId="0" applyNumberFormat="1" applyFont="1" applyFill="1" applyBorder="1" applyAlignment="1" applyProtection="1">
      <alignment horizontal="right" vertical="center"/>
    </xf>
    <xf numFmtId="0" fontId="43" fillId="6" borderId="403" xfId="0" applyNumberFormat="1" applyFont="1" applyFill="1" applyBorder="1" applyAlignment="1" applyProtection="1">
      <alignment horizontal="right" vertical="center"/>
    </xf>
    <xf numFmtId="0" fontId="43" fillId="6" borderId="273" xfId="0" applyNumberFormat="1" applyFont="1" applyFill="1" applyBorder="1" applyAlignment="1" applyProtection="1">
      <alignment horizontal="right" vertical="center"/>
    </xf>
    <xf numFmtId="0" fontId="43" fillId="6" borderId="274" xfId="0" applyNumberFormat="1" applyFont="1" applyFill="1" applyBorder="1" applyAlignment="1" applyProtection="1">
      <alignment horizontal="right" vertical="center"/>
    </xf>
    <xf numFmtId="0" fontId="43" fillId="6" borderId="275" xfId="0" applyNumberFormat="1" applyFont="1" applyFill="1" applyBorder="1" applyAlignment="1" applyProtection="1">
      <alignment horizontal="right" vertical="center"/>
    </xf>
    <xf numFmtId="0" fontId="43" fillId="6" borderId="401" xfId="0" applyNumberFormat="1" applyFont="1" applyFill="1" applyBorder="1" applyAlignment="1" applyProtection="1">
      <alignment horizontal="right" vertical="center"/>
    </xf>
    <xf numFmtId="0" fontId="18" fillId="0" borderId="409" xfId="0" applyFont="1" applyFill="1" applyBorder="1" applyAlignment="1" applyProtection="1">
      <alignment horizontal="center" wrapText="1"/>
      <protection locked="0"/>
    </xf>
    <xf numFmtId="0" fontId="18" fillId="0" borderId="406" xfId="0" applyFont="1" applyFill="1" applyBorder="1" applyAlignment="1" applyProtection="1">
      <alignment horizontal="center" wrapText="1"/>
      <protection locked="0"/>
    </xf>
    <xf numFmtId="0" fontId="18" fillId="0" borderId="463" xfId="0" applyFont="1" applyFill="1" applyBorder="1" applyAlignment="1" applyProtection="1">
      <alignment horizontal="center" wrapText="1"/>
      <protection locked="0"/>
    </xf>
    <xf numFmtId="0" fontId="18" fillId="0" borderId="465" xfId="0" applyFont="1" applyFill="1" applyBorder="1" applyAlignment="1" applyProtection="1">
      <protection locked="0"/>
    </xf>
    <xf numFmtId="0" fontId="18" fillId="0" borderId="464" xfId="0" applyFont="1" applyFill="1" applyBorder="1" applyAlignment="1" applyProtection="1">
      <alignment horizontal="center" wrapText="1"/>
      <protection locked="0"/>
    </xf>
    <xf numFmtId="0" fontId="0" fillId="0" borderId="0" xfId="0" applyAlignment="1">
      <alignment vertical="center"/>
    </xf>
    <xf numFmtId="0" fontId="2" fillId="0" borderId="0" xfId="0" applyFont="1" applyAlignment="1">
      <alignment vertical="center"/>
    </xf>
    <xf numFmtId="9" fontId="0" fillId="0" borderId="0" xfId="0" applyNumberFormat="1" applyAlignment="1">
      <alignment vertical="center"/>
    </xf>
    <xf numFmtId="0" fontId="77" fillId="0" borderId="0" xfId="0" applyFont="1" applyAlignment="1">
      <alignment vertical="center"/>
    </xf>
    <xf numFmtId="0" fontId="73" fillId="0" borderId="0" xfId="0" applyFont="1" applyAlignment="1">
      <alignment vertical="center"/>
    </xf>
    <xf numFmtId="9" fontId="0" fillId="0" borderId="0" xfId="0" applyNumberFormat="1" applyAlignment="1">
      <alignment horizontal="right" vertical="center"/>
    </xf>
    <xf numFmtId="9" fontId="0" fillId="7" borderId="0" xfId="0" applyNumberFormat="1" applyFill="1"/>
    <xf numFmtId="0" fontId="0" fillId="7" borderId="0" xfId="0" applyFill="1"/>
    <xf numFmtId="9" fontId="0" fillId="27" borderId="0" xfId="0" applyNumberFormat="1" applyFill="1"/>
    <xf numFmtId="0" fontId="0" fillId="27" borderId="0" xfId="0" applyFill="1"/>
    <xf numFmtId="0" fontId="0" fillId="28" borderId="0" xfId="0" applyFill="1"/>
    <xf numFmtId="0" fontId="3" fillId="0" borderId="0" xfId="0" applyFont="1"/>
    <xf numFmtId="0" fontId="19" fillId="0" borderId="0" xfId="0" applyFont="1" applyFill="1"/>
    <xf numFmtId="0" fontId="17" fillId="0" borderId="0" xfId="0" applyFont="1" applyFill="1"/>
    <xf numFmtId="9" fontId="17" fillId="0" borderId="0" xfId="0" applyNumberFormat="1" applyFont="1" applyFill="1" applyAlignment="1">
      <alignment horizontal="left"/>
    </xf>
    <xf numFmtId="0" fontId="57" fillId="0" borderId="0" xfId="0" applyFont="1" applyFill="1" applyBorder="1"/>
    <xf numFmtId="0" fontId="57" fillId="0" borderId="0" xfId="0" applyFont="1" applyFill="1" applyBorder="1" applyAlignment="1"/>
    <xf numFmtId="0" fontId="57" fillId="0" borderId="0" xfId="0" applyFont="1" applyFill="1" applyBorder="1" applyAlignment="1">
      <alignment horizontal="left"/>
    </xf>
    <xf numFmtId="6" fontId="57" fillId="0" borderId="0" xfId="0" applyNumberFormat="1" applyFont="1" applyFill="1" applyBorder="1" applyAlignment="1">
      <alignment horizontal="left"/>
    </xf>
    <xf numFmtId="42" fontId="25" fillId="0" borderId="338" xfId="0" applyNumberFormat="1" applyFont="1" applyFill="1" applyBorder="1" applyAlignment="1" applyProtection="1">
      <alignment vertical="center"/>
    </xf>
    <xf numFmtId="0" fontId="18" fillId="0" borderId="461" xfId="0" applyFont="1" applyFill="1" applyBorder="1" applyProtection="1"/>
    <xf numFmtId="0" fontId="18" fillId="0" borderId="462" xfId="0" applyFont="1" applyFill="1" applyBorder="1" applyProtection="1"/>
    <xf numFmtId="44" fontId="25" fillId="6" borderId="453" xfId="0" applyNumberFormat="1" applyFont="1" applyFill="1" applyBorder="1" applyAlignment="1" applyProtection="1">
      <alignment vertical="center"/>
    </xf>
    <xf numFmtId="0" fontId="58" fillId="0" borderId="28" xfId="0" applyFont="1" applyBorder="1" applyProtection="1"/>
    <xf numFmtId="0" fontId="18" fillId="0" borderId="316" xfId="0" applyFont="1" applyFill="1" applyBorder="1" applyAlignment="1" applyProtection="1">
      <alignment horizontal="center" wrapText="1"/>
      <protection locked="0"/>
    </xf>
    <xf numFmtId="166" fontId="18" fillId="0" borderId="316" xfId="0" applyNumberFormat="1" applyFont="1" applyFill="1" applyBorder="1" applyAlignment="1" applyProtection="1">
      <alignment horizontal="right" wrapText="1"/>
      <protection locked="0"/>
    </xf>
    <xf numFmtId="9" fontId="18" fillId="0" borderId="316" xfId="0" applyNumberFormat="1" applyFont="1" applyFill="1" applyBorder="1" applyAlignment="1" applyProtection="1">
      <alignment horizontal="right" wrapText="1"/>
      <protection locked="0"/>
    </xf>
    <xf numFmtId="166" fontId="18" fillId="6" borderId="316" xfId="0" applyNumberFormat="1" applyFont="1" applyFill="1" applyBorder="1" applyAlignment="1" applyProtection="1">
      <alignment horizontal="right" wrapText="1"/>
    </xf>
    <xf numFmtId="166" fontId="18" fillId="6" borderId="317" xfId="0" applyNumberFormat="1" applyFont="1" applyFill="1" applyBorder="1" applyAlignment="1" applyProtection="1">
      <alignment horizontal="right" wrapText="1"/>
    </xf>
    <xf numFmtId="0" fontId="18" fillId="0" borderId="316" xfId="0" applyFont="1" applyFill="1" applyBorder="1" applyAlignment="1" applyProtection="1">
      <alignment horizontal="center"/>
      <protection locked="0"/>
    </xf>
    <xf numFmtId="166" fontId="18" fillId="0" borderId="484" xfId="0" applyNumberFormat="1" applyFont="1" applyFill="1" applyBorder="1" applyAlignment="1" applyProtection="1">
      <protection locked="0"/>
    </xf>
    <xf numFmtId="6" fontId="18" fillId="0" borderId="315" xfId="0" applyNumberFormat="1" applyFont="1" applyFill="1" applyBorder="1" applyAlignment="1" applyProtection="1">
      <alignment horizontal="right"/>
      <protection locked="0"/>
    </xf>
    <xf numFmtId="6" fontId="18" fillId="0" borderId="316" xfId="0" applyNumberFormat="1" applyFont="1" applyFill="1" applyBorder="1" applyAlignment="1" applyProtection="1">
      <alignment horizontal="right"/>
      <protection locked="0"/>
    </xf>
    <xf numFmtId="6" fontId="18" fillId="0" borderId="317" xfId="0" applyNumberFormat="1" applyFont="1" applyFill="1" applyBorder="1" applyAlignment="1" applyProtection="1">
      <alignment horizontal="right"/>
      <protection locked="0"/>
    </xf>
    <xf numFmtId="166" fontId="46" fillId="6" borderId="482" xfId="0" applyNumberFormat="1" applyFont="1" applyFill="1" applyBorder="1" applyAlignment="1" applyProtection="1">
      <alignment horizontal="center" wrapText="1"/>
    </xf>
    <xf numFmtId="166" fontId="46" fillId="6" borderId="483" xfId="0" applyNumberFormat="1" applyFont="1" applyFill="1" applyBorder="1" applyAlignment="1" applyProtection="1">
      <alignment horizontal="center" wrapText="1"/>
    </xf>
    <xf numFmtId="5" fontId="43" fillId="0" borderId="486" xfId="0" applyNumberFormat="1" applyFont="1" applyFill="1" applyBorder="1" applyProtection="1">
      <protection locked="0"/>
    </xf>
    <xf numFmtId="5" fontId="43" fillId="0" borderId="487" xfId="0" applyNumberFormat="1" applyFont="1" applyFill="1" applyBorder="1" applyProtection="1">
      <protection locked="0"/>
    </xf>
    <xf numFmtId="5" fontId="43" fillId="0" borderId="488" xfId="0" applyNumberFormat="1" applyFont="1" applyFill="1" applyBorder="1" applyProtection="1">
      <protection locked="0"/>
    </xf>
    <xf numFmtId="5" fontId="43" fillId="0" borderId="65" xfId="0" applyNumberFormat="1" applyFont="1" applyFill="1" applyBorder="1" applyProtection="1">
      <protection locked="0"/>
    </xf>
    <xf numFmtId="5" fontId="43" fillId="0" borderId="66" xfId="0" applyNumberFormat="1" applyFont="1" applyFill="1" applyBorder="1" applyProtection="1">
      <protection locked="0"/>
    </xf>
    <xf numFmtId="5" fontId="43" fillId="0" borderId="67" xfId="0" applyNumberFormat="1" applyFont="1" applyFill="1" applyBorder="1" applyProtection="1">
      <protection locked="0"/>
    </xf>
    <xf numFmtId="5" fontId="43" fillId="0" borderId="68" xfId="0" applyNumberFormat="1" applyFont="1" applyFill="1" applyBorder="1" applyProtection="1">
      <protection locked="0"/>
    </xf>
    <xf numFmtId="5" fontId="43" fillId="0" borderId="69" xfId="0" applyNumberFormat="1" applyFont="1" applyFill="1" applyBorder="1" applyProtection="1">
      <protection locked="0"/>
    </xf>
    <xf numFmtId="5" fontId="43" fillId="0" borderId="70" xfId="0" applyNumberFormat="1" applyFont="1" applyFill="1" applyBorder="1" applyProtection="1">
      <protection locked="0"/>
    </xf>
    <xf numFmtId="0" fontId="17" fillId="0" borderId="0" xfId="0" applyFont="1" applyFill="1" applyAlignment="1" applyProtection="1">
      <alignment horizontal="right" vertical="center"/>
    </xf>
    <xf numFmtId="166" fontId="43" fillId="8" borderId="37" xfId="0" applyNumberFormat="1" applyFont="1" applyFill="1" applyBorder="1" applyAlignment="1" applyProtection="1">
      <alignment vertical="center"/>
    </xf>
    <xf numFmtId="6" fontId="43" fillId="0" borderId="323" xfId="0" applyNumberFormat="1" applyFont="1" applyFill="1" applyBorder="1" applyAlignment="1" applyProtection="1">
      <alignment horizontal="right" vertical="center"/>
      <protection locked="0"/>
    </xf>
    <xf numFmtId="6" fontId="22" fillId="6" borderId="494" xfId="0" applyNumberFormat="1" applyFont="1" applyFill="1" applyBorder="1" applyAlignment="1" applyProtection="1"/>
    <xf numFmtId="0" fontId="18" fillId="0" borderId="508" xfId="0" applyFont="1" applyFill="1" applyBorder="1" applyAlignment="1" applyProtection="1">
      <alignment horizontal="center" vertical="top" wrapText="1"/>
      <protection locked="0"/>
    </xf>
    <xf numFmtId="0" fontId="46" fillId="0" borderId="0" xfId="0" applyFont="1" applyFill="1" applyBorder="1" applyAlignment="1" applyProtection="1"/>
    <xf numFmtId="0" fontId="66" fillId="0" borderId="0" xfId="0" applyFont="1" applyFill="1" applyBorder="1" applyAlignment="1" applyProtection="1">
      <alignment horizontal="right" vertical="center"/>
    </xf>
    <xf numFmtId="0" fontId="18" fillId="0" borderId="77" xfId="0" applyFont="1" applyFill="1" applyBorder="1" applyAlignment="1" applyProtection="1">
      <protection locked="0"/>
    </xf>
    <xf numFmtId="0" fontId="18" fillId="0" borderId="6" xfId="0" applyFont="1" applyFill="1" applyBorder="1" applyAlignment="1" applyProtection="1">
      <protection locked="0"/>
    </xf>
    <xf numFmtId="0" fontId="18" fillId="0" borderId="6" xfId="0" applyFont="1" applyFill="1" applyBorder="1" applyProtection="1">
      <protection locked="0"/>
    </xf>
    <xf numFmtId="0" fontId="18" fillId="0" borderId="478" xfId="0" applyFont="1" applyFill="1" applyBorder="1" applyAlignment="1" applyProtection="1">
      <protection locked="0"/>
    </xf>
    <xf numFmtId="0" fontId="18" fillId="0" borderId="60" xfId="0" applyFont="1" applyFill="1" applyBorder="1" applyAlignment="1" applyProtection="1">
      <protection locked="0"/>
    </xf>
    <xf numFmtId="0" fontId="18" fillId="0" borderId="61" xfId="0" applyFont="1" applyBorder="1" applyAlignment="1" applyProtection="1">
      <protection locked="0"/>
    </xf>
    <xf numFmtId="0" fontId="18" fillId="0" borderId="154" xfId="0" applyFont="1" applyBorder="1" applyAlignment="1" applyProtection="1">
      <protection locked="0"/>
    </xf>
    <xf numFmtId="0" fontId="18" fillId="0" borderId="60" xfId="0" applyFont="1" applyBorder="1" applyAlignment="1" applyProtection="1">
      <protection locked="0"/>
    </xf>
    <xf numFmtId="0" fontId="18" fillId="18" borderId="287" xfId="0" applyFont="1" applyFill="1" applyBorder="1" applyAlignment="1" applyProtection="1">
      <alignment wrapText="1"/>
    </xf>
    <xf numFmtId="0" fontId="18" fillId="18" borderId="447" xfId="0" applyFont="1" applyFill="1" applyBorder="1" applyAlignment="1" applyProtection="1">
      <alignment wrapText="1"/>
    </xf>
    <xf numFmtId="0" fontId="18" fillId="0" borderId="167" xfId="0" applyFont="1" applyBorder="1" applyProtection="1"/>
    <xf numFmtId="0" fontId="18" fillId="0" borderId="168" xfId="0" applyFont="1" applyBorder="1" applyProtection="1"/>
    <xf numFmtId="0" fontId="18" fillId="0" borderId="170" xfId="0" applyFont="1" applyBorder="1" applyProtection="1"/>
    <xf numFmtId="0" fontId="18" fillId="0" borderId="0" xfId="0" applyFont="1" applyFill="1" applyBorder="1" applyAlignment="1" applyProtection="1">
      <alignment horizontal="left"/>
    </xf>
    <xf numFmtId="0" fontId="19" fillId="0" borderId="0" xfId="0" applyFont="1" applyBorder="1" applyAlignment="1" applyProtection="1"/>
    <xf numFmtId="0" fontId="18" fillId="0" borderId="0" xfId="0" applyFont="1" applyBorder="1" applyAlignment="1" applyProtection="1">
      <alignment horizontal="left" indent="1"/>
    </xf>
    <xf numFmtId="0" fontId="18" fillId="0" borderId="0" xfId="0" applyFont="1" applyBorder="1" applyAlignment="1" applyProtection="1"/>
    <xf numFmtId="0" fontId="18" fillId="0" borderId="0" xfId="0" applyFont="1" applyFill="1" applyBorder="1" applyAlignment="1" applyProtection="1">
      <alignment horizontal="right"/>
    </xf>
    <xf numFmtId="0" fontId="18" fillId="0" borderId="6" xfId="0" applyFont="1" applyFill="1" applyBorder="1" applyProtection="1"/>
    <xf numFmtId="0" fontId="18" fillId="0" borderId="18" xfId="0" applyFont="1" applyFill="1" applyBorder="1" applyAlignment="1" applyProtection="1">
      <alignment horizontal="left"/>
    </xf>
    <xf numFmtId="0" fontId="0" fillId="0" borderId="0" xfId="0" applyProtection="1"/>
    <xf numFmtId="0" fontId="18" fillId="0" borderId="0" xfId="0" applyFont="1" applyFill="1" applyBorder="1" applyAlignment="1" applyProtection="1">
      <alignment horizontal="center" vertical="center"/>
    </xf>
    <xf numFmtId="0" fontId="19" fillId="0" borderId="93" xfId="0" applyFont="1" applyBorder="1" applyAlignment="1" applyProtection="1"/>
    <xf numFmtId="0" fontId="22" fillId="0" borderId="93" xfId="0" applyFont="1" applyFill="1" applyBorder="1" applyAlignment="1" applyProtection="1"/>
    <xf numFmtId="0" fontId="22" fillId="0" borderId="0" xfId="0" applyFont="1" applyBorder="1" applyAlignment="1" applyProtection="1">
      <alignment horizontal="left" indent="1"/>
    </xf>
    <xf numFmtId="0" fontId="18" fillId="0" borderId="0" xfId="0" applyFont="1" applyFill="1" applyBorder="1" applyAlignment="1" applyProtection="1">
      <alignment horizontal="left" indent="1"/>
    </xf>
    <xf numFmtId="0" fontId="18" fillId="0" borderId="0" xfId="0" applyFont="1" applyFill="1" applyBorder="1" applyAlignment="1" applyProtection="1">
      <alignment horizontal="right" vertical="center"/>
    </xf>
    <xf numFmtId="0" fontId="0" fillId="0" borderId="0" xfId="0" applyFont="1" applyFill="1" applyProtection="1"/>
    <xf numFmtId="0" fontId="18" fillId="0" borderId="0" xfId="0" applyFont="1" applyFill="1" applyBorder="1" applyAlignment="1" applyProtection="1">
      <alignment vertical="center"/>
    </xf>
    <xf numFmtId="0" fontId="18" fillId="0" borderId="77" xfId="0" applyFont="1" applyFill="1" applyBorder="1" applyAlignment="1" applyProtection="1">
      <alignment vertical="center"/>
    </xf>
    <xf numFmtId="0" fontId="18" fillId="0" borderId="24" xfId="0" applyFont="1" applyFill="1" applyBorder="1" applyAlignment="1" applyProtection="1">
      <alignment horizontal="center" vertical="center"/>
    </xf>
    <xf numFmtId="0" fontId="18" fillId="0" borderId="25" xfId="0"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left" vertical="top"/>
    </xf>
    <xf numFmtId="0" fontId="18" fillId="0" borderId="0" xfId="0" applyFont="1" applyBorder="1" applyAlignment="1" applyProtection="1">
      <alignment horizontal="left" vertical="top"/>
    </xf>
    <xf numFmtId="0" fontId="51" fillId="0" borderId="0" xfId="0" applyFont="1" applyFill="1" applyBorder="1" applyAlignment="1" applyProtection="1">
      <alignment vertical="top" wrapText="1"/>
    </xf>
    <xf numFmtId="0" fontId="18" fillId="9" borderId="147" xfId="0" applyFont="1" applyFill="1" applyBorder="1" applyProtection="1"/>
    <xf numFmtId="0" fontId="18" fillId="0" borderId="0" xfId="0" applyFont="1" applyBorder="1" applyAlignment="1" applyProtection="1">
      <alignment horizontal="left" vertical="center"/>
    </xf>
    <xf numFmtId="0" fontId="18" fillId="0" borderId="164" xfId="0" applyFont="1" applyBorder="1" applyProtection="1"/>
    <xf numFmtId="0" fontId="18" fillId="0" borderId="165" xfId="0" applyFont="1" applyBorder="1" applyProtection="1"/>
    <xf numFmtId="9" fontId="18" fillId="0" borderId="165" xfId="0" applyNumberFormat="1" applyFont="1" applyFill="1" applyBorder="1" applyProtection="1"/>
    <xf numFmtId="0" fontId="18" fillId="0" borderId="78" xfId="0" applyFont="1" applyFill="1" applyBorder="1" applyProtection="1">
      <protection locked="0"/>
    </xf>
    <xf numFmtId="0" fontId="18" fillId="0" borderId="78"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7" fillId="0" borderId="0" xfId="0" applyFont="1" applyFill="1" applyProtection="1">
      <protection locked="0"/>
    </xf>
    <xf numFmtId="0" fontId="18" fillId="0" borderId="169" xfId="0" applyFont="1" applyBorder="1" applyProtection="1"/>
    <xf numFmtId="0" fontId="18" fillId="0" borderId="171" xfId="0" applyFont="1" applyBorder="1" applyProtection="1"/>
    <xf numFmtId="0" fontId="18" fillId="0" borderId="166" xfId="0" applyFont="1" applyBorder="1" applyProtection="1"/>
    <xf numFmtId="0" fontId="0" fillId="0" borderId="0" xfId="0" applyFont="1" applyProtection="1">
      <protection locked="0"/>
    </xf>
    <xf numFmtId="0" fontId="17" fillId="0" borderId="194" xfId="0" applyFont="1" applyBorder="1" applyAlignment="1" applyProtection="1">
      <alignment horizontal="center"/>
      <protection locked="0"/>
    </xf>
    <xf numFmtId="0" fontId="17" fillId="0" borderId="181" xfId="0" applyFont="1" applyFill="1" applyBorder="1" applyAlignment="1" applyProtection="1">
      <alignment horizontal="center"/>
      <protection locked="0"/>
    </xf>
    <xf numFmtId="0" fontId="0" fillId="0" borderId="181" xfId="0" applyFont="1" applyFill="1" applyBorder="1" applyAlignment="1" applyProtection="1">
      <alignment horizontal="center"/>
      <protection locked="0"/>
    </xf>
    <xf numFmtId="0" fontId="17" fillId="0" borderId="66" xfId="0" applyFont="1" applyFill="1" applyBorder="1" applyAlignment="1" applyProtection="1">
      <alignment horizontal="center"/>
      <protection locked="0"/>
    </xf>
    <xf numFmtId="0" fontId="0" fillId="0" borderId="66" xfId="0" applyFont="1" applyFill="1" applyBorder="1" applyAlignment="1" applyProtection="1">
      <alignment horizontal="center"/>
      <protection locked="0"/>
    </xf>
    <xf numFmtId="0" fontId="17" fillId="0" borderId="111" xfId="0" applyFont="1" applyBorder="1" applyAlignment="1" applyProtection="1">
      <alignment horizontal="center"/>
      <protection locked="0"/>
    </xf>
    <xf numFmtId="0" fontId="17" fillId="0" borderId="75" xfId="0" applyFont="1" applyFill="1" applyBorder="1" applyAlignment="1" applyProtection="1">
      <alignment horizontal="center"/>
      <protection locked="0"/>
    </xf>
    <xf numFmtId="0" fontId="0" fillId="0" borderId="75" xfId="0" applyFont="1" applyFill="1" applyBorder="1" applyAlignment="1" applyProtection="1">
      <alignment horizontal="center"/>
      <protection locked="0"/>
    </xf>
    <xf numFmtId="0" fontId="18" fillId="0" borderId="194" xfId="0" applyFont="1" applyBorder="1" applyAlignment="1" applyProtection="1">
      <alignment horizontal="center"/>
      <protection locked="0"/>
    </xf>
    <xf numFmtId="0" fontId="18" fillId="0" borderId="181" xfId="0" applyFont="1" applyBorder="1" applyAlignment="1" applyProtection="1">
      <alignment horizontal="center"/>
      <protection locked="0"/>
    </xf>
    <xf numFmtId="0" fontId="18" fillId="0" borderId="193" xfId="0" applyFont="1" applyBorder="1" applyAlignment="1" applyProtection="1">
      <alignment horizontal="center"/>
      <protection locked="0"/>
    </xf>
    <xf numFmtId="0" fontId="18" fillId="0" borderId="69" xfId="0" applyFont="1" applyBorder="1" applyAlignment="1" applyProtection="1">
      <alignment horizontal="center"/>
      <protection locked="0"/>
    </xf>
    <xf numFmtId="0" fontId="18" fillId="0" borderId="42" xfId="0" applyFont="1" applyBorder="1" applyProtection="1"/>
    <xf numFmtId="0" fontId="2" fillId="18" borderId="9" xfId="0" applyFont="1" applyFill="1" applyBorder="1" applyAlignment="1" applyProtection="1">
      <alignment horizontal="center" wrapText="1"/>
    </xf>
    <xf numFmtId="0" fontId="17" fillId="18" borderId="195" xfId="0" applyFont="1" applyFill="1" applyBorder="1" applyProtection="1"/>
    <xf numFmtId="0" fontId="17" fillId="18" borderId="156" xfId="0" applyFont="1" applyFill="1" applyBorder="1" applyProtection="1"/>
    <xf numFmtId="0" fontId="0" fillId="18" borderId="156" xfId="0" applyFont="1" applyFill="1" applyBorder="1" applyProtection="1"/>
    <xf numFmtId="0" fontId="18" fillId="0" borderId="43" xfId="0" applyFont="1" applyBorder="1" applyProtection="1"/>
    <xf numFmtId="9" fontId="42" fillId="5" borderId="95" xfId="0" applyNumberFormat="1" applyFont="1" applyFill="1" applyBorder="1" applyAlignment="1" applyProtection="1">
      <alignment horizontal="center" vertical="center" wrapText="1"/>
    </xf>
    <xf numFmtId="9" fontId="42" fillId="18" borderId="190" xfId="0" applyNumberFormat="1" applyFont="1" applyFill="1" applyBorder="1" applyAlignment="1" applyProtection="1">
      <alignment horizontal="center" vertical="center" wrapText="1"/>
    </xf>
    <xf numFmtId="0" fontId="18" fillId="6" borderId="196" xfId="0" applyFont="1" applyFill="1" applyBorder="1" applyAlignment="1" applyProtection="1">
      <alignment horizontal="center"/>
    </xf>
    <xf numFmtId="0" fontId="18" fillId="6" borderId="197" xfId="0" applyFont="1" applyFill="1" applyBorder="1" applyAlignment="1" applyProtection="1">
      <alignment horizontal="center"/>
    </xf>
    <xf numFmtId="0" fontId="0" fillId="6" borderId="197" xfId="0" applyFont="1" applyFill="1" applyBorder="1" applyAlignment="1" applyProtection="1">
      <alignment horizontal="center"/>
    </xf>
    <xf numFmtId="0" fontId="22" fillId="6" borderId="94" xfId="0" applyFont="1" applyFill="1" applyBorder="1" applyAlignment="1" applyProtection="1">
      <alignment horizontal="center"/>
    </xf>
    <xf numFmtId="9" fontId="42" fillId="18" borderId="198" xfId="0" applyNumberFormat="1" applyFont="1" applyFill="1" applyBorder="1" applyAlignment="1" applyProtection="1">
      <alignment horizontal="center" vertical="center" wrapText="1"/>
    </xf>
    <xf numFmtId="9" fontId="42" fillId="18" borderId="199" xfId="0" applyNumberFormat="1" applyFont="1" applyFill="1" applyBorder="1" applyAlignment="1" applyProtection="1">
      <alignment horizontal="center" vertical="center" wrapText="1"/>
    </xf>
    <xf numFmtId="9" fontId="42" fillId="18" borderId="1" xfId="0" applyNumberFormat="1" applyFont="1" applyFill="1" applyBorder="1" applyAlignment="1" applyProtection="1">
      <alignment horizontal="center" vertical="center" wrapText="1"/>
    </xf>
    <xf numFmtId="0" fontId="18" fillId="6" borderId="200" xfId="0" applyFont="1" applyFill="1" applyBorder="1" applyAlignment="1" applyProtection="1">
      <alignment horizontal="center"/>
    </xf>
    <xf numFmtId="0" fontId="18" fillId="6" borderId="179" xfId="0" applyFont="1" applyFill="1" applyBorder="1" applyAlignment="1" applyProtection="1">
      <alignment horizontal="center"/>
    </xf>
    <xf numFmtId="0" fontId="0" fillId="6" borderId="179" xfId="0" applyFont="1" applyFill="1" applyBorder="1" applyAlignment="1" applyProtection="1">
      <alignment horizontal="center"/>
    </xf>
    <xf numFmtId="9" fontId="42" fillId="23" borderId="9" xfId="0" applyNumberFormat="1" applyFont="1" applyFill="1" applyBorder="1" applyAlignment="1" applyProtection="1">
      <alignment horizontal="center" vertical="center" wrapText="1"/>
    </xf>
    <xf numFmtId="0" fontId="18" fillId="23" borderId="7" xfId="0" applyFont="1" applyFill="1" applyBorder="1" applyAlignment="1" applyProtection="1">
      <alignment horizontal="center"/>
    </xf>
    <xf numFmtId="0" fontId="0" fillId="23" borderId="7" xfId="0" applyFont="1" applyFill="1" applyBorder="1" applyAlignment="1" applyProtection="1">
      <alignment horizontal="center"/>
    </xf>
    <xf numFmtId="9" fontId="42" fillId="18" borderId="201" xfId="0" applyNumberFormat="1" applyFont="1" applyFill="1" applyBorder="1" applyAlignment="1" applyProtection="1">
      <alignment horizontal="center" vertical="center" wrapText="1"/>
    </xf>
    <xf numFmtId="0" fontId="18" fillId="6" borderId="3" xfId="0" applyFont="1" applyFill="1" applyBorder="1" applyAlignment="1" applyProtection="1">
      <alignment horizontal="center"/>
    </xf>
    <xf numFmtId="0" fontId="2" fillId="18" borderId="199" xfId="0" applyFont="1" applyFill="1" applyBorder="1" applyAlignment="1" applyProtection="1">
      <alignment horizontal="center" vertical="center"/>
    </xf>
    <xf numFmtId="0" fontId="22" fillId="23" borderId="192" xfId="0" applyFont="1" applyFill="1" applyBorder="1" applyAlignment="1" applyProtection="1">
      <alignment horizontal="center"/>
    </xf>
    <xf numFmtId="0" fontId="18" fillId="0" borderId="44" xfId="0" applyFont="1" applyBorder="1" applyProtection="1"/>
    <xf numFmtId="0" fontId="18" fillId="0" borderId="45" xfId="0" applyFont="1" applyBorder="1" applyProtection="1"/>
    <xf numFmtId="0" fontId="18" fillId="0" borderId="46" xfId="0" applyFont="1" applyBorder="1" applyProtection="1"/>
    <xf numFmtId="0" fontId="43" fillId="0" borderId="106" xfId="0" applyFont="1" applyFill="1" applyBorder="1" applyAlignment="1" applyProtection="1">
      <protection locked="0"/>
    </xf>
    <xf numFmtId="0" fontId="3" fillId="0" borderId="181" xfId="0" applyFont="1" applyFill="1" applyBorder="1" applyAlignment="1" applyProtection="1">
      <alignment horizontal="center"/>
      <protection locked="0"/>
    </xf>
    <xf numFmtId="0" fontId="43" fillId="0" borderId="104" xfId="0" applyFont="1" applyFill="1" applyBorder="1" applyAlignment="1" applyProtection="1">
      <protection locked="0"/>
    </xf>
    <xf numFmtId="0" fontId="43" fillId="0" borderId="66" xfId="0" applyFont="1" applyFill="1" applyBorder="1" applyAlignment="1" applyProtection="1">
      <alignment horizontal="center"/>
      <protection locked="0"/>
    </xf>
    <xf numFmtId="0" fontId="3" fillId="0" borderId="66" xfId="0" applyFont="1" applyFill="1" applyBorder="1" applyAlignment="1" applyProtection="1">
      <alignment horizontal="center"/>
      <protection locked="0"/>
    </xf>
    <xf numFmtId="0" fontId="44" fillId="0" borderId="66" xfId="0" applyFont="1" applyFill="1" applyBorder="1" applyAlignment="1" applyProtection="1">
      <alignment horizontal="center"/>
      <protection locked="0"/>
    </xf>
    <xf numFmtId="0" fontId="3" fillId="0" borderId="167" xfId="0" applyFont="1" applyBorder="1" applyProtection="1"/>
    <xf numFmtId="0" fontId="3" fillId="0" borderId="168" xfId="0" applyFont="1" applyBorder="1" applyProtection="1"/>
    <xf numFmtId="0" fontId="3" fillId="0" borderId="168" xfId="0" applyFont="1" applyFill="1" applyBorder="1" applyProtection="1"/>
    <xf numFmtId="0" fontId="3" fillId="0" borderId="169" xfId="0" applyFont="1" applyBorder="1" applyProtection="1"/>
    <xf numFmtId="0" fontId="3" fillId="0" borderId="170" xfId="0" applyFont="1" applyBorder="1" applyProtection="1"/>
    <xf numFmtId="0" fontId="3" fillId="0" borderId="171" xfId="0" applyFont="1" applyBorder="1" applyProtection="1"/>
    <xf numFmtId="0" fontId="3" fillId="0" borderId="0" xfId="0" applyFont="1" applyBorder="1" applyProtection="1"/>
    <xf numFmtId="0" fontId="3" fillId="0" borderId="0" xfId="0" applyFont="1" applyFill="1" applyBorder="1" applyAlignment="1" applyProtection="1"/>
    <xf numFmtId="0" fontId="3" fillId="0" borderId="170" xfId="0" applyFont="1" applyBorder="1" applyAlignment="1" applyProtection="1">
      <alignment vertical="center"/>
    </xf>
    <xf numFmtId="0" fontId="42" fillId="18" borderId="187" xfId="0" applyFont="1" applyFill="1" applyBorder="1" applyAlignment="1" applyProtection="1">
      <alignment horizontal="center" vertical="center" wrapText="1"/>
    </xf>
    <xf numFmtId="0" fontId="42" fillId="18" borderId="203" xfId="0" applyFont="1" applyFill="1" applyBorder="1" applyAlignment="1" applyProtection="1">
      <alignment horizontal="center" vertical="center"/>
    </xf>
    <xf numFmtId="9" fontId="42" fillId="18" borderId="188" xfId="0" applyNumberFormat="1" applyFont="1" applyFill="1" applyBorder="1" applyAlignment="1" applyProtection="1">
      <alignment horizontal="center" vertical="center" wrapText="1"/>
    </xf>
    <xf numFmtId="9" fontId="45" fillId="18" borderId="188" xfId="0" applyNumberFormat="1" applyFont="1" applyFill="1" applyBorder="1" applyAlignment="1" applyProtection="1">
      <alignment horizontal="center" vertical="center" wrapText="1"/>
    </xf>
    <xf numFmtId="9" fontId="42" fillId="18" borderId="203" xfId="0" applyNumberFormat="1" applyFont="1" applyFill="1" applyBorder="1" applyAlignment="1" applyProtection="1">
      <alignment horizontal="center" vertical="center" wrapText="1"/>
    </xf>
    <xf numFmtId="9" fontId="42" fillId="18" borderId="204" xfId="0" applyNumberFormat="1" applyFont="1" applyFill="1" applyBorder="1" applyAlignment="1" applyProtection="1">
      <alignment horizontal="center" vertical="center" wrapText="1"/>
    </xf>
    <xf numFmtId="9" fontId="42" fillId="18" borderId="107" xfId="0" applyNumberFormat="1" applyFont="1" applyFill="1" applyBorder="1" applyAlignment="1" applyProtection="1">
      <alignment horizontal="center" vertical="center" wrapText="1"/>
    </xf>
    <xf numFmtId="0" fontId="3" fillId="0" borderId="171" xfId="0" applyFont="1" applyBorder="1" applyAlignment="1" applyProtection="1">
      <alignment vertical="center"/>
    </xf>
    <xf numFmtId="0" fontId="3" fillId="6" borderId="202" xfId="0" applyFont="1" applyFill="1" applyBorder="1" applyAlignment="1" applyProtection="1">
      <alignment horizontal="center"/>
    </xf>
    <xf numFmtId="0" fontId="3" fillId="6" borderId="122" xfId="0" applyFont="1" applyFill="1" applyBorder="1" applyAlignment="1" applyProtection="1">
      <alignment horizontal="center"/>
    </xf>
    <xf numFmtId="0" fontId="1" fillId="6" borderId="122" xfId="0" applyFont="1" applyFill="1" applyBorder="1" applyAlignment="1" applyProtection="1">
      <alignment horizontal="center"/>
    </xf>
    <xf numFmtId="0" fontId="1" fillId="6" borderId="118" xfId="0" applyFont="1" applyFill="1" applyBorder="1" applyAlignment="1" applyProtection="1">
      <alignment horizontal="center"/>
    </xf>
    <xf numFmtId="0" fontId="6" fillId="6" borderId="112" xfId="0" applyFont="1" applyFill="1" applyBorder="1" applyAlignment="1" applyProtection="1">
      <alignment horizontal="center"/>
    </xf>
    <xf numFmtId="0" fontId="3" fillId="6" borderId="185" xfId="0" applyFont="1" applyFill="1" applyBorder="1" applyAlignment="1" applyProtection="1">
      <alignment horizontal="center"/>
    </xf>
    <xf numFmtId="0" fontId="3" fillId="6" borderId="186" xfId="0" applyFont="1" applyFill="1" applyBorder="1" applyAlignment="1" applyProtection="1">
      <alignment horizontal="center"/>
    </xf>
    <xf numFmtId="0" fontId="6" fillId="6" borderId="147" xfId="0" applyFont="1" applyFill="1" applyBorder="1" applyAlignment="1" applyProtection="1">
      <alignment horizontal="center"/>
    </xf>
    <xf numFmtId="0" fontId="3" fillId="0" borderId="165" xfId="0" applyFont="1" applyBorder="1" applyProtection="1"/>
    <xf numFmtId="0" fontId="3" fillId="0" borderId="166" xfId="0" applyFont="1" applyBorder="1" applyProtection="1"/>
    <xf numFmtId="0" fontId="0" fillId="0" borderId="0" xfId="0" applyFill="1" applyProtection="1">
      <protection locked="0"/>
    </xf>
    <xf numFmtId="0" fontId="3" fillId="0" borderId="30" xfId="0" applyFont="1" applyBorder="1" applyAlignment="1" applyProtection="1">
      <alignment vertical="center"/>
    </xf>
    <xf numFmtId="0" fontId="3" fillId="0" borderId="31" xfId="0" applyFont="1" applyBorder="1" applyAlignment="1" applyProtection="1">
      <alignment vertical="center"/>
    </xf>
    <xf numFmtId="0" fontId="3" fillId="0" borderId="0" xfId="0" applyFont="1" applyBorder="1" applyAlignment="1" applyProtection="1">
      <alignment vertical="center"/>
    </xf>
    <xf numFmtId="0" fontId="19" fillId="0" borderId="0" xfId="0" applyFont="1" applyFill="1" applyBorder="1" applyAlignment="1" applyProtection="1"/>
    <xf numFmtId="0" fontId="17" fillId="6" borderId="6" xfId="0" applyNumberFormat="1" applyFont="1" applyFill="1" applyBorder="1" applyAlignment="1" applyProtection="1"/>
    <xf numFmtId="0" fontId="0" fillId="6" borderId="6" xfId="0" applyFill="1" applyBorder="1" applyProtection="1"/>
    <xf numFmtId="0" fontId="2" fillId="0" borderId="0" xfId="0" applyFont="1" applyFill="1" applyBorder="1" applyProtection="1"/>
    <xf numFmtId="0" fontId="3" fillId="0" borderId="33" xfId="0" applyFont="1" applyBorder="1" applyAlignment="1" applyProtection="1">
      <alignment vertical="center" wrapText="1"/>
    </xf>
    <xf numFmtId="0" fontId="3" fillId="0" borderId="32" xfId="0" applyFont="1" applyBorder="1" applyAlignment="1" applyProtection="1">
      <alignment vertical="center"/>
    </xf>
    <xf numFmtId="0" fontId="17" fillId="0" borderId="430" xfId="0" applyFont="1" applyFill="1" applyBorder="1" applyAlignment="1" applyProtection="1">
      <alignment horizontal="center"/>
    </xf>
    <xf numFmtId="0" fontId="22" fillId="18" borderId="114" xfId="0" applyFont="1" applyFill="1" applyBorder="1" applyAlignment="1" applyProtection="1">
      <alignment vertical="center"/>
    </xf>
    <xf numFmtId="0" fontId="3" fillId="0" borderId="34" xfId="0" applyFont="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1" fillId="0" borderId="29" xfId="0" applyFont="1" applyFill="1" applyBorder="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0" xfId="0" applyFont="1" applyFill="1" applyBorder="1" applyProtection="1"/>
    <xf numFmtId="0" fontId="1" fillId="0" borderId="33" xfId="0" applyFont="1" applyFill="1" applyBorder="1" applyProtection="1"/>
    <xf numFmtId="0" fontId="2" fillId="0" borderId="0" xfId="0" applyFont="1" applyFill="1" applyAlignment="1" applyProtection="1">
      <alignment horizontal="right"/>
    </xf>
    <xf numFmtId="0" fontId="1" fillId="6" borderId="257" xfId="0" applyFont="1" applyFill="1" applyBorder="1" applyProtection="1"/>
    <xf numFmtId="14" fontId="1" fillId="0" borderId="0" xfId="0" applyNumberFormat="1" applyFont="1" applyFill="1" applyBorder="1" applyProtection="1"/>
    <xf numFmtId="0" fontId="18" fillId="0" borderId="0" xfId="0" applyFont="1" applyFill="1" applyBorder="1" applyProtection="1"/>
    <xf numFmtId="0" fontId="1" fillId="0" borderId="0" xfId="0" applyFont="1" applyFill="1" applyProtection="1"/>
    <xf numFmtId="0" fontId="18" fillId="0" borderId="33" xfId="0" applyFont="1" applyFill="1" applyBorder="1" applyProtection="1"/>
    <xf numFmtId="0" fontId="18" fillId="0" borderId="478" xfId="0" applyFont="1" applyFill="1" applyBorder="1" applyProtection="1"/>
    <xf numFmtId="0" fontId="85" fillId="0" borderId="0" xfId="0" applyFont="1" applyFill="1" applyBorder="1" applyAlignment="1" applyProtection="1">
      <alignment horizontal="right"/>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22" fillId="0" borderId="6" xfId="0" applyFont="1" applyFill="1" applyBorder="1" applyAlignment="1" applyProtection="1">
      <alignment horizontal="left"/>
    </xf>
    <xf numFmtId="0" fontId="22" fillId="16" borderId="79" xfId="0" applyFont="1" applyFill="1" applyBorder="1" applyAlignment="1" applyProtection="1">
      <alignment horizontal="center" wrapText="1"/>
    </xf>
    <xf numFmtId="0" fontId="22" fillId="16" borderId="478" xfId="0" applyFont="1" applyFill="1" applyBorder="1" applyAlignment="1" applyProtection="1">
      <alignment horizontal="left" wrapText="1"/>
    </xf>
    <xf numFmtId="0" fontId="22" fillId="16" borderId="478" xfId="0" applyFont="1" applyFill="1" applyBorder="1" applyAlignment="1" applyProtection="1">
      <alignment horizontal="center" wrapText="1"/>
    </xf>
    <xf numFmtId="0" fontId="42" fillId="16" borderId="478" xfId="0" applyFont="1" applyFill="1" applyBorder="1" applyProtection="1"/>
    <xf numFmtId="0" fontId="2" fillId="16" borderId="80" xfId="0" applyFont="1" applyFill="1" applyBorder="1" applyAlignment="1" applyProtection="1">
      <alignment horizontal="left"/>
    </xf>
    <xf numFmtId="0" fontId="1" fillId="0" borderId="510" xfId="0" applyFont="1" applyFill="1" applyBorder="1" applyAlignment="1" applyProtection="1">
      <alignment horizontal="center"/>
    </xf>
    <xf numFmtId="0" fontId="0" fillId="0" borderId="521" xfId="0" applyFill="1" applyBorder="1" applyProtection="1"/>
    <xf numFmtId="0" fontId="1" fillId="0" borderId="511" xfId="0" applyFont="1" applyFill="1" applyBorder="1" applyAlignment="1" applyProtection="1">
      <alignment horizontal="center"/>
    </xf>
    <xf numFmtId="0" fontId="0" fillId="0" borderId="522" xfId="0" applyFill="1" applyBorder="1" applyProtection="1"/>
    <xf numFmtId="0" fontId="1" fillId="8" borderId="79" xfId="0" applyFont="1" applyFill="1" applyBorder="1" applyAlignment="1" applyProtection="1">
      <alignment horizontal="center"/>
    </xf>
    <xf numFmtId="0" fontId="1" fillId="8" borderId="478" xfId="0" applyFont="1" applyFill="1" applyBorder="1" applyProtection="1"/>
    <xf numFmtId="0" fontId="1" fillId="8" borderId="478" xfId="0" applyFont="1" applyFill="1" applyBorder="1" applyAlignment="1" applyProtection="1">
      <alignment horizontal="center"/>
    </xf>
    <xf numFmtId="0" fontId="1" fillId="18" borderId="80" xfId="0" applyFont="1" applyFill="1" applyBorder="1" applyAlignment="1" applyProtection="1">
      <alignment horizontal="right"/>
    </xf>
    <xf numFmtId="0" fontId="1" fillId="6" borderId="477" xfId="0" applyFont="1" applyFill="1" applyBorder="1" applyProtection="1"/>
    <xf numFmtId="0" fontId="1" fillId="0" borderId="18" xfId="0" applyFont="1" applyFill="1" applyBorder="1" applyAlignment="1" applyProtection="1">
      <alignment horizontal="center"/>
    </xf>
    <xf numFmtId="0" fontId="0" fillId="0" borderId="0" xfId="0" applyFill="1" applyBorder="1" applyProtection="1"/>
    <xf numFmtId="0" fontId="1" fillId="0" borderId="18" xfId="0" applyFont="1" applyFill="1" applyBorder="1" applyProtection="1"/>
    <xf numFmtId="0" fontId="1" fillId="0" borderId="24" xfId="0" applyFont="1" applyFill="1" applyBorder="1" applyAlignment="1" applyProtection="1">
      <alignment horizontal="center"/>
    </xf>
    <xf numFmtId="0" fontId="1" fillId="0" borderId="523" xfId="0" applyFont="1" applyFill="1" applyBorder="1" applyAlignment="1" applyProtection="1">
      <alignment horizontal="center"/>
    </xf>
    <xf numFmtId="0" fontId="0" fillId="0" borderId="524" xfId="0" applyFill="1" applyBorder="1" applyProtection="1"/>
    <xf numFmtId="0" fontId="52" fillId="0" borderId="33" xfId="0" applyFont="1" applyFill="1" applyBorder="1" applyProtection="1"/>
    <xf numFmtId="0" fontId="0" fillId="0" borderId="523" xfId="0" applyFont="1" applyFill="1" applyBorder="1" applyAlignment="1" applyProtection="1">
      <alignment horizontal="center"/>
    </xf>
    <xf numFmtId="0" fontId="1" fillId="0" borderId="32" xfId="0" applyFont="1" applyFill="1" applyBorder="1" applyAlignment="1" applyProtection="1"/>
    <xf numFmtId="0" fontId="1" fillId="0" borderId="33" xfId="0" applyFont="1" applyFill="1" applyBorder="1" applyAlignment="1" applyProtection="1"/>
    <xf numFmtId="0" fontId="1" fillId="0" borderId="523" xfId="0" quotePrefix="1" applyFont="1" applyFill="1" applyBorder="1" applyAlignment="1" applyProtection="1">
      <alignment horizontal="center"/>
    </xf>
    <xf numFmtId="0" fontId="18" fillId="0" borderId="524" xfId="0" applyFont="1" applyFill="1" applyBorder="1" applyProtection="1"/>
    <xf numFmtId="0" fontId="1" fillId="0" borderId="514" xfId="0" applyFont="1" applyFill="1" applyBorder="1" applyAlignment="1" applyProtection="1">
      <alignment horizontal="center"/>
    </xf>
    <xf numFmtId="0" fontId="0" fillId="0" borderId="525" xfId="0" applyFill="1" applyBorder="1" applyProtection="1"/>
    <xf numFmtId="0" fontId="1" fillId="0" borderId="503" xfId="0" applyFont="1" applyFill="1" applyBorder="1" applyAlignment="1" applyProtection="1">
      <alignment horizontal="center"/>
    </xf>
    <xf numFmtId="0" fontId="0" fillId="0" borderId="526" xfId="0" applyFill="1" applyBorder="1" applyProtection="1"/>
    <xf numFmtId="0" fontId="0" fillId="0" borderId="527" xfId="0" applyFill="1" applyBorder="1" applyProtection="1"/>
    <xf numFmtId="0" fontId="2" fillId="0" borderId="32" xfId="0" applyFont="1" applyFill="1" applyBorder="1" applyProtection="1"/>
    <xf numFmtId="0" fontId="1"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 fillId="0" borderId="528" xfId="0" applyFont="1" applyFill="1" applyBorder="1" applyAlignment="1" applyProtection="1">
      <alignment horizontal="center"/>
    </xf>
    <xf numFmtId="0" fontId="0" fillId="0" borderId="529" xfId="0" applyFill="1" applyBorder="1" applyProtection="1"/>
    <xf numFmtId="0" fontId="0" fillId="0" borderId="509" xfId="0" applyFont="1" applyFill="1" applyBorder="1" applyAlignment="1" applyProtection="1">
      <alignment horizontal="center"/>
    </xf>
    <xf numFmtId="0" fontId="0" fillId="0" borderId="502" xfId="0" applyFill="1" applyBorder="1" applyProtection="1"/>
    <xf numFmtId="0" fontId="1" fillId="0" borderId="509" xfId="0" applyFont="1" applyFill="1" applyBorder="1" applyAlignment="1" applyProtection="1">
      <alignment horizontal="center"/>
    </xf>
    <xf numFmtId="0" fontId="18" fillId="0" borderId="502" xfId="0" applyFont="1" applyFill="1" applyBorder="1" applyProtection="1"/>
    <xf numFmtId="0" fontId="1" fillId="0" borderId="507" xfId="0" applyFont="1" applyFill="1" applyBorder="1" applyAlignment="1" applyProtection="1">
      <alignment horizontal="center"/>
    </xf>
    <xf numFmtId="0" fontId="0" fillId="0" borderId="506" xfId="0" applyFill="1" applyBorder="1" applyProtection="1"/>
    <xf numFmtId="0" fontId="1" fillId="0" borderId="34" xfId="0" applyFont="1" applyFill="1" applyBorder="1" applyProtection="1"/>
    <xf numFmtId="0" fontId="1" fillId="0" borderId="35" xfId="0" applyFont="1" applyFill="1" applyBorder="1" applyAlignment="1" applyProtection="1">
      <alignment horizontal="center"/>
    </xf>
    <xf numFmtId="0" fontId="1" fillId="0" borderId="35" xfId="0" applyFont="1" applyFill="1" applyBorder="1" applyProtection="1"/>
    <xf numFmtId="0" fontId="0" fillId="0" borderId="35" xfId="0" applyFill="1" applyBorder="1" applyProtection="1"/>
    <xf numFmtId="0" fontId="1" fillId="0" borderId="36" xfId="0" applyFont="1" applyFill="1" applyBorder="1" applyProtection="1"/>
    <xf numFmtId="0" fontId="2" fillId="0" borderId="30" xfId="0" applyFont="1" applyFill="1" applyBorder="1" applyAlignment="1" applyProtection="1">
      <alignment horizontal="left"/>
    </xf>
    <xf numFmtId="0" fontId="0" fillId="0" borderId="30" xfId="0" applyFill="1" applyBorder="1" applyProtection="1"/>
    <xf numFmtId="0" fontId="1" fillId="0" borderId="32" xfId="0" applyFont="1" applyFill="1" applyBorder="1" applyAlignment="1" applyProtection="1">
      <alignment vertical="top"/>
    </xf>
    <xf numFmtId="0" fontId="1" fillId="0" borderId="509" xfId="0" applyFont="1" applyFill="1" applyBorder="1" applyAlignment="1" applyProtection="1">
      <alignment horizontal="center" vertical="top"/>
    </xf>
    <xf numFmtId="0" fontId="1" fillId="0" borderId="33" xfId="0" applyFont="1" applyFill="1" applyBorder="1" applyAlignment="1" applyProtection="1">
      <alignment vertical="top"/>
    </xf>
    <xf numFmtId="0" fontId="1" fillId="0" borderId="501" xfId="0" applyFont="1" applyFill="1" applyBorder="1" applyAlignment="1" applyProtection="1">
      <alignment horizontal="right"/>
    </xf>
    <xf numFmtId="0" fontId="1" fillId="6" borderId="500" xfId="0" applyFont="1" applyFill="1" applyBorder="1" applyProtection="1"/>
    <xf numFmtId="0" fontId="1" fillId="0" borderId="499" xfId="0" applyFont="1" applyFill="1" applyBorder="1" applyAlignment="1" applyProtection="1">
      <alignment horizontal="right"/>
    </xf>
    <xf numFmtId="0" fontId="1" fillId="6" borderId="498" xfId="0" applyFont="1" applyFill="1" applyBorder="1" applyProtection="1"/>
    <xf numFmtId="0" fontId="1" fillId="0" borderId="497" xfId="0" applyFont="1" applyFill="1" applyBorder="1" applyAlignment="1" applyProtection="1">
      <alignment horizontal="right"/>
    </xf>
    <xf numFmtId="0" fontId="1" fillId="6" borderId="496" xfId="0" applyFont="1" applyFill="1" applyBorder="1" applyProtection="1"/>
    <xf numFmtId="0" fontId="1" fillId="0" borderId="11" xfId="0" applyFont="1" applyFill="1" applyBorder="1" applyAlignment="1" applyProtection="1">
      <alignment horizontal="right"/>
    </xf>
    <xf numFmtId="0" fontId="1" fillId="6" borderId="22" xfId="0" applyFont="1" applyFill="1" applyBorder="1" applyProtection="1"/>
    <xf numFmtId="0" fontId="1" fillId="5" borderId="144" xfId="0" applyFont="1" applyFill="1" applyBorder="1" applyAlignment="1" applyProtection="1">
      <protection locked="0"/>
    </xf>
    <xf numFmtId="0" fontId="43" fillId="0" borderId="132" xfId="0" applyFont="1" applyBorder="1" applyAlignment="1" applyProtection="1">
      <protection locked="0"/>
    </xf>
    <xf numFmtId="0" fontId="1" fillId="5" borderId="142" xfId="0" applyFont="1" applyFill="1" applyBorder="1" applyAlignment="1" applyProtection="1">
      <protection locked="0"/>
    </xf>
    <xf numFmtId="0" fontId="1" fillId="5" borderId="205" xfId="0" applyFont="1" applyFill="1" applyBorder="1" applyAlignment="1" applyProtection="1">
      <protection locked="0"/>
    </xf>
    <xf numFmtId="0" fontId="1" fillId="5" borderId="66" xfId="0" applyFont="1" applyFill="1" applyBorder="1" applyAlignment="1" applyProtection="1">
      <protection locked="0"/>
    </xf>
    <xf numFmtId="0" fontId="3" fillId="0" borderId="104" xfId="0" applyFont="1" applyBorder="1" applyAlignment="1" applyProtection="1">
      <protection locked="0"/>
    </xf>
    <xf numFmtId="0" fontId="1" fillId="5" borderId="67" xfId="0" applyFont="1" applyFill="1" applyBorder="1" applyAlignment="1" applyProtection="1">
      <protection locked="0"/>
    </xf>
    <xf numFmtId="0" fontId="1" fillId="5" borderId="69" xfId="0" applyFont="1" applyFill="1" applyBorder="1" applyAlignment="1" applyProtection="1">
      <protection locked="0"/>
    </xf>
    <xf numFmtId="0" fontId="3" fillId="0" borderId="133" xfId="0" applyFont="1" applyBorder="1" applyAlignment="1" applyProtection="1">
      <protection locked="0"/>
    </xf>
    <xf numFmtId="0" fontId="1" fillId="5" borderId="160" xfId="0" applyFont="1" applyFill="1" applyBorder="1" applyAlignment="1" applyProtection="1">
      <protection locked="0"/>
    </xf>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6" fillId="0" borderId="0" xfId="0" applyFont="1" applyBorder="1" applyProtection="1"/>
    <xf numFmtId="0" fontId="3" fillId="6" borderId="6" xfId="0" applyFont="1" applyFill="1" applyBorder="1" applyAlignment="1" applyProtection="1"/>
    <xf numFmtId="0" fontId="3" fillId="0" borderId="42" xfId="0" applyFont="1" applyBorder="1" applyAlignment="1" applyProtection="1"/>
    <xf numFmtId="0" fontId="2" fillId="18" borderId="435" xfId="0" applyFont="1" applyFill="1" applyBorder="1" applyAlignment="1" applyProtection="1">
      <alignment horizontal="center" wrapText="1"/>
    </xf>
    <xf numFmtId="0" fontId="2" fillId="18" borderId="433" xfId="0" applyFont="1" applyFill="1" applyBorder="1" applyAlignment="1" applyProtection="1"/>
    <xf numFmtId="0" fontId="2" fillId="18" borderId="434" xfId="0" applyFont="1" applyFill="1" applyBorder="1" applyAlignment="1" applyProtection="1">
      <alignment wrapText="1"/>
    </xf>
    <xf numFmtId="0" fontId="3" fillId="0" borderId="43" xfId="0" applyFont="1" applyBorder="1" applyAlignment="1" applyProtection="1"/>
    <xf numFmtId="0" fontId="24"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147" xfId="0" applyFont="1" applyFill="1" applyBorder="1" applyProtection="1"/>
    <xf numFmtId="0" fontId="3" fillId="0" borderId="29" xfId="0" applyFont="1" applyFill="1" applyBorder="1" applyAlignment="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19" fillId="18" borderId="432" xfId="0" applyFont="1" applyFill="1" applyBorder="1" applyAlignment="1" applyProtection="1">
      <alignment vertical="center"/>
    </xf>
    <xf numFmtId="0" fontId="6" fillId="18" borderId="438" xfId="0" applyFont="1" applyFill="1" applyBorder="1" applyAlignment="1" applyProtection="1">
      <alignment vertical="center"/>
    </xf>
    <xf numFmtId="0" fontId="6" fillId="18" borderId="432" xfId="0" applyFont="1" applyFill="1" applyBorder="1" applyAlignment="1" applyProtection="1">
      <alignment horizontal="center" vertical="center" wrapText="1"/>
    </xf>
    <xf numFmtId="0" fontId="6" fillId="18" borderId="226" xfId="0" applyFont="1" applyFill="1" applyBorder="1" applyAlignment="1" applyProtection="1">
      <alignment horizontal="center" vertical="center" wrapText="1"/>
    </xf>
    <xf numFmtId="0" fontId="6" fillId="18" borderId="439" xfId="0" applyFont="1" applyFill="1" applyBorder="1" applyAlignment="1" applyProtection="1">
      <alignment horizontal="center" vertical="center"/>
    </xf>
    <xf numFmtId="7" fontId="3" fillId="4" borderId="225" xfId="0" applyNumberFormat="1" applyFont="1" applyFill="1" applyBorder="1" applyAlignment="1" applyProtection="1">
      <alignment horizontal="center"/>
    </xf>
    <xf numFmtId="7" fontId="3" fillId="4" borderId="226" xfId="0" applyNumberFormat="1" applyFont="1" applyFill="1" applyBorder="1" applyAlignment="1" applyProtection="1">
      <alignment horizontal="center"/>
    </xf>
    <xf numFmtId="7" fontId="3" fillId="4" borderId="439" xfId="0" applyNumberFormat="1" applyFont="1" applyFill="1" applyBorder="1" applyAlignment="1" applyProtection="1">
      <alignment horizontal="center"/>
    </xf>
    <xf numFmtId="0" fontId="18" fillId="3" borderId="81" xfId="0" applyFont="1" applyFill="1" applyBorder="1" applyAlignment="1" applyProtection="1"/>
    <xf numFmtId="0" fontId="18" fillId="3" borderId="86" xfId="0" applyFont="1" applyFill="1" applyBorder="1" applyAlignment="1" applyProtection="1"/>
    <xf numFmtId="44" fontId="3" fillId="2" borderId="440" xfId="0" applyNumberFormat="1" applyFont="1" applyFill="1" applyBorder="1" applyAlignment="1" applyProtection="1"/>
    <xf numFmtId="44" fontId="3" fillId="2" borderId="403" xfId="0" applyNumberFormat="1" applyFont="1" applyFill="1" applyBorder="1" applyAlignment="1" applyProtection="1"/>
    <xf numFmtId="0" fontId="18" fillId="3" borderId="97" xfId="0" applyFont="1" applyFill="1" applyBorder="1" applyAlignment="1" applyProtection="1"/>
    <xf numFmtId="0" fontId="18" fillId="3" borderId="98" xfId="0" applyFont="1" applyFill="1" applyBorder="1" applyAlignment="1" applyProtection="1"/>
    <xf numFmtId="44" fontId="3" fillId="2" borderId="441" xfId="0" applyNumberFormat="1" applyFont="1" applyFill="1" applyBorder="1" applyAlignment="1" applyProtection="1"/>
    <xf numFmtId="0" fontId="6" fillId="18" borderId="11" xfId="0" applyFont="1" applyFill="1" applyBorder="1" applyAlignment="1" applyProtection="1"/>
    <xf numFmtId="0" fontId="6" fillId="18" borderId="12" xfId="0" applyFont="1" applyFill="1" applyBorder="1" applyAlignment="1" applyProtection="1"/>
    <xf numFmtId="0" fontId="6" fillId="18" borderId="472" xfId="0" applyFont="1" applyFill="1" applyBorder="1" applyAlignment="1" applyProtection="1"/>
    <xf numFmtId="0" fontId="6" fillId="0" borderId="0" xfId="0" applyFont="1" applyFill="1" applyBorder="1" applyAlignment="1" applyProtection="1"/>
    <xf numFmtId="44" fontId="6" fillId="0" borderId="0" xfId="0" applyNumberFormat="1" applyFont="1" applyFill="1" applyBorder="1" applyAlignment="1" applyProtection="1">
      <alignment horizontal="center" vertical="center"/>
    </xf>
    <xf numFmtId="44" fontId="24" fillId="0" borderId="0" xfId="0" applyNumberFormat="1" applyFont="1" applyFill="1" applyBorder="1" applyAlignment="1" applyProtection="1">
      <alignment horizontal="right" vertical="center"/>
    </xf>
    <xf numFmtId="0" fontId="3" fillId="0" borderId="34" xfId="0" applyFont="1" applyFill="1" applyBorder="1" applyAlignment="1" applyProtection="1"/>
    <xf numFmtId="0" fontId="3" fillId="3" borderId="35" xfId="0" applyFont="1" applyFill="1" applyBorder="1" applyAlignment="1" applyProtection="1"/>
    <xf numFmtId="0" fontId="3" fillId="0" borderId="36" xfId="0" applyFont="1" applyFill="1" applyBorder="1" applyAlignment="1" applyProtection="1"/>
    <xf numFmtId="0" fontId="9" fillId="0" borderId="0" xfId="0" applyFont="1" applyFill="1" applyBorder="1" applyAlignment="1" applyProtection="1">
      <alignment horizontal="left" vertical="center"/>
    </xf>
    <xf numFmtId="0" fontId="3" fillId="0" borderId="245" xfId="0" applyFont="1" applyBorder="1" applyAlignment="1" applyProtection="1">
      <alignment vertical="center" wrapText="1"/>
    </xf>
    <xf numFmtId="0" fontId="3" fillId="0" borderId="245" xfId="0" applyFont="1" applyBorder="1" applyAlignment="1" applyProtection="1">
      <alignment vertical="center"/>
    </xf>
    <xf numFmtId="0" fontId="27" fillId="0" borderId="167" xfId="0" applyFont="1" applyFill="1" applyBorder="1" applyProtection="1"/>
    <xf numFmtId="0" fontId="27" fillId="0" borderId="168" xfId="0" applyFont="1" applyFill="1" applyBorder="1" applyProtection="1"/>
    <xf numFmtId="0" fontId="27" fillId="0" borderId="170" xfId="0" applyFont="1" applyFill="1" applyBorder="1" applyProtection="1"/>
    <xf numFmtId="0" fontId="27" fillId="0" borderId="170" xfId="0" applyFont="1" applyBorder="1" applyProtection="1"/>
    <xf numFmtId="0" fontId="3" fillId="0" borderId="0" xfId="0" applyFont="1" applyProtection="1"/>
    <xf numFmtId="0" fontId="27" fillId="0" borderId="171" xfId="0" applyFont="1" applyFill="1" applyBorder="1" applyProtection="1"/>
    <xf numFmtId="0" fontId="27" fillId="17" borderId="73" xfId="0" applyFont="1" applyFill="1" applyBorder="1" applyProtection="1"/>
    <xf numFmtId="5" fontId="29" fillId="18" borderId="79" xfId="0" applyNumberFormat="1" applyFont="1" applyFill="1" applyBorder="1" applyAlignment="1" applyProtection="1">
      <alignment vertical="center" wrapText="1"/>
    </xf>
    <xf numFmtId="0" fontId="27" fillId="17" borderId="0" xfId="0" applyFont="1" applyFill="1" applyBorder="1" applyProtection="1"/>
    <xf numFmtId="5" fontId="29" fillId="18" borderId="94" xfId="0" applyNumberFormat="1" applyFont="1" applyFill="1" applyBorder="1" applyAlignment="1" applyProtection="1">
      <alignment vertical="center" wrapText="1"/>
    </xf>
    <xf numFmtId="0" fontId="27" fillId="17" borderId="12" xfId="0" applyFont="1" applyFill="1" applyBorder="1" applyProtection="1"/>
    <xf numFmtId="5" fontId="29" fillId="0" borderId="0" xfId="0" applyNumberFormat="1" applyFont="1" applyFill="1" applyBorder="1" applyAlignment="1" applyProtection="1">
      <alignment horizontal="center" vertical="center" wrapText="1"/>
    </xf>
    <xf numFmtId="42" fontId="25" fillId="17" borderId="73" xfId="0" applyNumberFormat="1" applyFont="1" applyFill="1" applyBorder="1" applyProtection="1"/>
    <xf numFmtId="42" fontId="25" fillId="6" borderId="230" xfId="0" applyNumberFormat="1" applyFont="1" applyFill="1" applyBorder="1" applyAlignment="1" applyProtection="1">
      <alignment vertical="center"/>
    </xf>
    <xf numFmtId="42" fontId="25" fillId="17" borderId="0" xfId="0" applyNumberFormat="1" applyFont="1" applyFill="1" applyBorder="1" applyProtection="1"/>
    <xf numFmtId="42" fontId="25" fillId="6" borderId="125" xfId="0" applyNumberFormat="1" applyFont="1" applyFill="1" applyBorder="1" applyAlignment="1" applyProtection="1">
      <alignment vertical="center" wrapText="1"/>
    </xf>
    <xf numFmtId="42" fontId="25" fillId="12" borderId="83" xfId="0" applyNumberFormat="1" applyFont="1" applyFill="1" applyBorder="1" applyAlignment="1" applyProtection="1">
      <alignment vertical="center"/>
    </xf>
    <xf numFmtId="42" fontId="25" fillId="12" borderId="134" xfId="0" applyNumberFormat="1" applyFont="1" applyFill="1" applyBorder="1" applyAlignment="1" applyProtection="1">
      <alignment vertical="center"/>
    </xf>
    <xf numFmtId="42" fontId="25" fillId="17" borderId="113" xfId="0" applyNumberFormat="1" applyFont="1" applyFill="1" applyBorder="1" applyProtection="1"/>
    <xf numFmtId="42" fontId="25" fillId="12" borderId="85" xfId="0" applyNumberFormat="1" applyFont="1" applyFill="1" applyBorder="1" applyAlignment="1" applyProtection="1">
      <alignment vertical="center"/>
    </xf>
    <xf numFmtId="42" fontId="25" fillId="12" borderId="72" xfId="0" applyNumberFormat="1" applyFont="1" applyFill="1" applyBorder="1" applyAlignment="1" applyProtection="1">
      <alignment vertical="center"/>
    </xf>
    <xf numFmtId="0" fontId="3" fillId="0" borderId="73" xfId="0" applyFont="1" applyBorder="1" applyProtection="1"/>
    <xf numFmtId="0" fontId="27" fillId="0" borderId="164" xfId="0" applyFont="1" applyFill="1" applyBorder="1" applyProtection="1"/>
    <xf numFmtId="0" fontId="3" fillId="0" borderId="245" xfId="0" applyFont="1" applyBorder="1" applyProtection="1"/>
    <xf numFmtId="0" fontId="27" fillId="0" borderId="245" xfId="0" applyFont="1" applyBorder="1" applyProtection="1"/>
    <xf numFmtId="42" fontId="37" fillId="0" borderId="245" xfId="0" applyNumberFormat="1" applyFont="1" applyFill="1" applyBorder="1" applyAlignment="1" applyProtection="1">
      <alignment horizontal="center" vertical="center"/>
    </xf>
    <xf numFmtId="42" fontId="25" fillId="17" borderId="245" xfId="0" applyNumberFormat="1" applyFont="1" applyFill="1" applyBorder="1" applyProtection="1"/>
    <xf numFmtId="0" fontId="3" fillId="0" borderId="338" xfId="0" applyFont="1" applyBorder="1" applyProtection="1"/>
    <xf numFmtId="0" fontId="27" fillId="0" borderId="338" xfId="0" applyFont="1" applyBorder="1" applyProtection="1"/>
    <xf numFmtId="42" fontId="37" fillId="0" borderId="338" xfId="0" applyNumberFormat="1" applyFont="1" applyFill="1" applyBorder="1" applyAlignment="1" applyProtection="1">
      <alignment horizontal="center" vertical="center"/>
    </xf>
    <xf numFmtId="42" fontId="25" fillId="17" borderId="338" xfId="0" applyNumberFormat="1" applyFont="1" applyFill="1" applyBorder="1" applyProtection="1"/>
    <xf numFmtId="42" fontId="18" fillId="0" borderId="12" xfId="0" applyNumberFormat="1" applyFont="1" applyFill="1" applyBorder="1" applyProtection="1"/>
    <xf numFmtId="0" fontId="27" fillId="0" borderId="165" xfId="0" applyFont="1" applyBorder="1" applyProtection="1"/>
    <xf numFmtId="42" fontId="25" fillId="17" borderId="165" xfId="0" applyNumberFormat="1" applyFont="1" applyFill="1" applyBorder="1" applyProtection="1"/>
    <xf numFmtId="42" fontId="25" fillId="11" borderId="223" xfId="0" applyNumberFormat="1" applyFont="1" applyFill="1" applyBorder="1" applyAlignment="1" applyProtection="1">
      <alignment vertical="center"/>
    </xf>
    <xf numFmtId="42" fontId="25" fillId="11" borderId="248" xfId="0" applyNumberFormat="1" applyFont="1" applyFill="1" applyBorder="1" applyAlignment="1" applyProtection="1">
      <alignment vertical="center"/>
    </xf>
    <xf numFmtId="42" fontId="25" fillId="12" borderId="250" xfId="0" applyNumberFormat="1" applyFont="1" applyFill="1" applyBorder="1" applyAlignment="1" applyProtection="1">
      <alignment vertical="center"/>
    </xf>
    <xf numFmtId="42" fontId="25" fillId="12" borderId="241" xfId="0" applyNumberFormat="1" applyFont="1" applyFill="1" applyBorder="1" applyAlignment="1" applyProtection="1">
      <alignment vertical="center"/>
    </xf>
    <xf numFmtId="42" fontId="25" fillId="17" borderId="12" xfId="0" applyNumberFormat="1" applyFont="1" applyFill="1" applyBorder="1" applyProtection="1"/>
    <xf numFmtId="42" fontId="25" fillId="12" borderId="242" xfId="0" applyNumberFormat="1" applyFont="1" applyFill="1" applyBorder="1" applyAlignment="1" applyProtection="1">
      <alignment vertical="center"/>
    </xf>
    <xf numFmtId="42" fontId="25" fillId="0" borderId="0" xfId="0" applyNumberFormat="1" applyFont="1" applyFill="1" applyBorder="1" applyProtection="1"/>
    <xf numFmtId="0" fontId="27" fillId="0" borderId="165" xfId="0" applyFont="1" applyFill="1" applyBorder="1" applyProtection="1"/>
    <xf numFmtId="166" fontId="39" fillId="0" borderId="165" xfId="0" applyNumberFormat="1" applyFont="1" applyFill="1" applyBorder="1" applyAlignment="1" applyProtection="1"/>
    <xf numFmtId="0" fontId="3" fillId="0" borderId="166" xfId="0" applyFont="1" applyFill="1" applyBorder="1" applyProtection="1"/>
    <xf numFmtId="44" fontId="0" fillId="0" borderId="0" xfId="0" applyNumberFormat="1" applyProtection="1">
      <protection locked="0"/>
    </xf>
    <xf numFmtId="0" fontId="13" fillId="0" borderId="29" xfId="0" applyFont="1" applyBorder="1" applyProtection="1"/>
    <xf numFmtId="0" fontId="13" fillId="0" borderId="30" xfId="0" applyFont="1" applyBorder="1" applyProtection="1"/>
    <xf numFmtId="0" fontId="13" fillId="0" borderId="31" xfId="0" applyFont="1" applyBorder="1" applyProtection="1"/>
    <xf numFmtId="0" fontId="13" fillId="0" borderId="32" xfId="0" applyFont="1" applyBorder="1" applyProtection="1"/>
    <xf numFmtId="0" fontId="13" fillId="0" borderId="33" xfId="0" applyFont="1" applyBorder="1" applyProtection="1"/>
    <xf numFmtId="0" fontId="13" fillId="0" borderId="0" xfId="0" applyFont="1" applyBorder="1" applyProtection="1"/>
    <xf numFmtId="0" fontId="17" fillId="0" borderId="0" xfId="0" applyFont="1" applyBorder="1" applyAlignment="1" applyProtection="1"/>
    <xf numFmtId="0" fontId="17" fillId="6" borderId="6" xfId="0" applyFont="1" applyFill="1" applyBorder="1" applyAlignment="1" applyProtection="1"/>
    <xf numFmtId="0" fontId="17" fillId="0" borderId="0" xfId="0" applyFont="1" applyFill="1" applyBorder="1" applyAlignment="1" applyProtection="1"/>
    <xf numFmtId="0" fontId="13" fillId="0" borderId="32" xfId="0" applyFont="1" applyFill="1" applyBorder="1" applyProtection="1"/>
    <xf numFmtId="0" fontId="13" fillId="0" borderId="0" xfId="0" applyFont="1" applyFill="1" applyBorder="1" applyProtection="1"/>
    <xf numFmtId="0" fontId="13" fillId="0" borderId="0" xfId="0" applyFont="1" applyProtection="1"/>
    <xf numFmtId="0" fontId="13" fillId="0" borderId="34" xfId="0" applyFont="1" applyFill="1" applyBorder="1" applyProtection="1"/>
    <xf numFmtId="0" fontId="13" fillId="0" borderId="35" xfId="0" applyFont="1" applyBorder="1" applyProtection="1"/>
    <xf numFmtId="0" fontId="13" fillId="0" borderId="36" xfId="0" applyFont="1" applyBorder="1" applyProtection="1"/>
    <xf numFmtId="0" fontId="13" fillId="0" borderId="33" xfId="0" applyFont="1" applyBorder="1" applyAlignment="1" applyProtection="1"/>
    <xf numFmtId="0" fontId="13" fillId="0" borderId="33" xfId="0" applyFont="1" applyFill="1" applyBorder="1" applyProtection="1"/>
    <xf numFmtId="0" fontId="13" fillId="0" borderId="0" xfId="0" applyFont="1" applyFill="1" applyProtection="1"/>
    <xf numFmtId="5" fontId="10" fillId="0" borderId="35" xfId="0" applyNumberFormat="1" applyFont="1" applyFill="1" applyBorder="1" applyAlignment="1" applyProtection="1">
      <alignment vertical="center"/>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17" fillId="6" borderId="6" xfId="0" applyFont="1" applyFill="1" applyBorder="1" applyAlignment="1" applyProtection="1"/>
    <xf numFmtId="3" fontId="27" fillId="0" borderId="3" xfId="0" applyNumberFormat="1" applyFont="1" applyFill="1" applyBorder="1" applyAlignment="1" applyProtection="1"/>
    <xf numFmtId="3" fontId="33" fillId="0" borderId="0" xfId="0" applyNumberFormat="1" applyFont="1" applyFill="1" applyBorder="1" applyAlignment="1" applyProtection="1">
      <alignment horizontal="right" vertical="center"/>
    </xf>
    <xf numFmtId="0" fontId="3" fillId="0" borderId="34" xfId="0" applyFont="1" applyFill="1" applyBorder="1" applyProtection="1"/>
    <xf numFmtId="0" fontId="3" fillId="0" borderId="36" xfId="0" applyFont="1" applyBorder="1" applyProtection="1"/>
    <xf numFmtId="0" fontId="3" fillId="0" borderId="34" xfId="0" applyFont="1" applyBorder="1" applyProtection="1"/>
    <xf numFmtId="0" fontId="3" fillId="0" borderId="35" xfId="0" applyFont="1" applyBorder="1" applyProtection="1"/>
    <xf numFmtId="0" fontId="57" fillId="0" borderId="39" xfId="0" applyFont="1" applyBorder="1" applyProtection="1"/>
    <xf numFmtId="0" fontId="57" fillId="0" borderId="40" xfId="0" applyFont="1" applyBorder="1" applyProtection="1"/>
    <xf numFmtId="0" fontId="57" fillId="0" borderId="40" xfId="0" applyFont="1" applyFill="1" applyBorder="1" applyAlignment="1" applyProtection="1">
      <alignment wrapText="1"/>
    </xf>
    <xf numFmtId="0" fontId="57" fillId="0" borderId="41" xfId="0" applyFont="1" applyFill="1" applyBorder="1" applyAlignment="1" applyProtection="1">
      <alignment wrapText="1"/>
    </xf>
    <xf numFmtId="0" fontId="57" fillId="0" borderId="42" xfId="0" applyFont="1" applyBorder="1" applyProtection="1"/>
    <xf numFmtId="0" fontId="57" fillId="0" borderId="43" xfId="0" applyFont="1" applyFill="1" applyBorder="1" applyAlignment="1" applyProtection="1">
      <alignment wrapText="1"/>
    </xf>
    <xf numFmtId="0" fontId="57" fillId="0" borderId="0" xfId="0" applyFont="1" applyBorder="1" applyProtection="1"/>
    <xf numFmtId="0" fontId="57" fillId="0" borderId="0" xfId="0" applyFont="1" applyFill="1" applyBorder="1" applyAlignment="1" applyProtection="1">
      <alignment wrapText="1"/>
    </xf>
    <xf numFmtId="0" fontId="56" fillId="0" borderId="0" xfId="0" applyFont="1" applyProtection="1"/>
    <xf numFmtId="0" fontId="17" fillId="0" borderId="43" xfId="0" applyFont="1" applyBorder="1" applyAlignment="1" applyProtection="1"/>
    <xf numFmtId="0" fontId="58" fillId="0" borderId="43" xfId="0" applyFont="1" applyBorder="1" applyProtection="1"/>
    <xf numFmtId="0" fontId="0" fillId="0" borderId="0" xfId="0" applyFont="1" applyProtection="1"/>
    <xf numFmtId="0" fontId="57" fillId="0" borderId="12" xfId="0" applyFont="1" applyBorder="1" applyProtection="1"/>
    <xf numFmtId="42" fontId="58" fillId="20" borderId="67" xfId="0" applyNumberFormat="1" applyFont="1" applyFill="1" applyBorder="1" applyProtection="1"/>
    <xf numFmtId="0" fontId="0" fillId="0" borderId="28" xfId="0" applyFont="1" applyBorder="1" applyProtection="1"/>
    <xf numFmtId="0" fontId="0" fillId="0" borderId="6" xfId="0" applyFont="1" applyBorder="1" applyProtection="1"/>
    <xf numFmtId="0" fontId="57" fillId="0" borderId="44" xfId="0" applyFont="1" applyBorder="1" applyProtection="1"/>
    <xf numFmtId="0" fontId="57" fillId="0" borderId="45" xfId="0" applyFont="1" applyBorder="1" applyProtection="1"/>
    <xf numFmtId="0" fontId="58" fillId="0" borderId="46" xfId="0" applyFont="1" applyBorder="1" applyProtection="1"/>
    <xf numFmtId="42" fontId="18" fillId="0" borderId="120" xfId="0" applyNumberFormat="1" applyFont="1" applyFill="1" applyBorder="1" applyAlignment="1" applyProtection="1">
      <alignment vertical="center"/>
      <protection locked="0"/>
    </xf>
    <xf numFmtId="0" fontId="3" fillId="0" borderId="218" xfId="0" applyFont="1" applyFill="1" applyBorder="1" applyProtection="1">
      <protection locked="0"/>
    </xf>
    <xf numFmtId="0" fontId="3" fillId="0" borderId="180" xfId="0" applyFont="1" applyFill="1" applyBorder="1" applyProtection="1">
      <protection locked="0"/>
    </xf>
    <xf numFmtId="0" fontId="3" fillId="0" borderId="167" xfId="0" applyFont="1" applyFill="1" applyBorder="1" applyProtection="1"/>
    <xf numFmtId="0" fontId="3" fillId="0" borderId="169" xfId="0" applyFont="1" applyFill="1" applyBorder="1" applyProtection="1"/>
    <xf numFmtId="0" fontId="3" fillId="0" borderId="170" xfId="0" applyFont="1" applyFill="1" applyBorder="1" applyProtection="1"/>
    <xf numFmtId="0" fontId="3" fillId="0" borderId="171" xfId="0" applyFont="1" applyFill="1" applyBorder="1" applyProtection="1"/>
    <xf numFmtId="0" fontId="30" fillId="0" borderId="0" xfId="0" applyFont="1" applyFill="1" applyBorder="1" applyProtection="1"/>
    <xf numFmtId="0" fontId="32" fillId="0" borderId="127" xfId="0" applyFont="1" applyFill="1" applyBorder="1" applyProtection="1"/>
    <xf numFmtId="0" fontId="3" fillId="0" borderId="265" xfId="0" applyFont="1" applyFill="1" applyBorder="1" applyProtection="1"/>
    <xf numFmtId="0" fontId="3" fillId="0" borderId="266" xfId="0" applyFont="1" applyFill="1" applyBorder="1" applyProtection="1"/>
    <xf numFmtId="0" fontId="29" fillId="0" borderId="266" xfId="0" applyFont="1" applyFill="1" applyBorder="1" applyAlignment="1" applyProtection="1">
      <alignment horizontal="right"/>
    </xf>
    <xf numFmtId="0" fontId="3" fillId="0" borderId="127" xfId="0" applyFont="1" applyFill="1" applyBorder="1" applyProtection="1"/>
    <xf numFmtId="0" fontId="3" fillId="5" borderId="170" xfId="0" applyFont="1" applyFill="1" applyBorder="1" applyProtection="1"/>
    <xf numFmtId="0" fontId="34" fillId="18" borderId="251" xfId="0" applyFont="1" applyFill="1" applyBorder="1" applyProtection="1"/>
    <xf numFmtId="0" fontId="27" fillId="18" borderId="251" xfId="0" applyFont="1" applyFill="1" applyBorder="1" applyProtection="1"/>
    <xf numFmtId="0" fontId="3" fillId="18" borderId="251" xfId="0" applyFont="1" applyFill="1" applyBorder="1" applyProtection="1"/>
    <xf numFmtId="0" fontId="3" fillId="18" borderId="252" xfId="0" applyFont="1" applyFill="1" applyBorder="1" applyProtection="1"/>
    <xf numFmtId="44" fontId="3" fillId="6" borderId="257" xfId="0" applyNumberFormat="1" applyFont="1" applyFill="1" applyBorder="1" applyProtection="1"/>
    <xf numFmtId="0" fontId="24" fillId="0" borderId="0" xfId="0" applyFont="1" applyFill="1" applyBorder="1" applyProtection="1"/>
    <xf numFmtId="0" fontId="3" fillId="0" borderId="164" xfId="0" applyFont="1" applyFill="1" applyBorder="1" applyProtection="1"/>
    <xf numFmtId="0" fontId="3" fillId="0" borderId="165" xfId="0" applyFont="1" applyFill="1" applyBorder="1" applyProtection="1"/>
    <xf numFmtId="0" fontId="24" fillId="0" borderId="165" xfId="0" applyFont="1" applyFill="1" applyBorder="1" applyProtection="1"/>
    <xf numFmtId="0" fontId="52" fillId="0" borderId="0" xfId="0" applyFont="1" applyFill="1" applyProtection="1">
      <protection locked="0"/>
    </xf>
    <xf numFmtId="0" fontId="18" fillId="0" borderId="29" xfId="0" applyFont="1" applyFill="1" applyBorder="1" applyAlignment="1" applyProtection="1"/>
    <xf numFmtId="0" fontId="18" fillId="0" borderId="30" xfId="0" applyFont="1" applyFill="1" applyBorder="1" applyAlignment="1" applyProtection="1"/>
    <xf numFmtId="0" fontId="18" fillId="0" borderId="30" xfId="0" applyFont="1" applyFill="1" applyBorder="1" applyAlignment="1" applyProtection="1">
      <alignment horizontal="left"/>
    </xf>
    <xf numFmtId="0" fontId="18" fillId="0" borderId="31" xfId="0" applyFont="1" applyFill="1" applyBorder="1" applyAlignment="1" applyProtection="1"/>
    <xf numFmtId="0" fontId="18" fillId="0" borderId="32" xfId="0" applyFont="1" applyFill="1" applyBorder="1" applyAlignment="1" applyProtection="1"/>
    <xf numFmtId="0" fontId="18" fillId="0" borderId="33" xfId="0" applyFont="1" applyFill="1" applyBorder="1" applyAlignment="1" applyProtection="1"/>
    <xf numFmtId="0" fontId="18" fillId="6" borderId="6" xfId="0" applyFont="1" applyFill="1" applyBorder="1" applyAlignment="1" applyProtection="1"/>
    <xf numFmtId="0" fontId="17" fillId="6" borderId="6"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33" xfId="0" applyFont="1" applyFill="1" applyBorder="1" applyAlignment="1" applyProtection="1"/>
    <xf numFmtId="0" fontId="22" fillId="0" borderId="32" xfId="0" applyFont="1" applyFill="1" applyBorder="1" applyAlignment="1" applyProtection="1">
      <alignment horizontal="center"/>
    </xf>
    <xf numFmtId="0" fontId="22" fillId="18" borderId="254" xfId="0" applyFont="1" applyFill="1" applyBorder="1" applyAlignment="1" applyProtection="1"/>
    <xf numFmtId="0" fontId="22" fillId="18" borderId="254" xfId="0" applyFont="1" applyFill="1" applyBorder="1" applyAlignment="1" applyProtection="1">
      <alignment wrapText="1"/>
    </xf>
    <xf numFmtId="0" fontId="22" fillId="18" borderId="254" xfId="0" applyFont="1" applyFill="1" applyBorder="1" applyAlignment="1" applyProtection="1">
      <alignment horizontal="center" wrapText="1"/>
    </xf>
    <xf numFmtId="0" fontId="46" fillId="18" borderId="254" xfId="0" applyFont="1" applyFill="1" applyBorder="1" applyAlignment="1" applyProtection="1">
      <alignment horizontal="center" wrapText="1"/>
    </xf>
    <xf numFmtId="0" fontId="46" fillId="0" borderId="0" xfId="0" applyFont="1" applyFill="1" applyBorder="1" applyAlignment="1" applyProtection="1">
      <alignment horizontal="center"/>
    </xf>
    <xf numFmtId="0" fontId="46" fillId="0" borderId="33" xfId="0" applyFont="1" applyFill="1" applyBorder="1" applyAlignment="1" applyProtection="1">
      <alignment horizontal="center"/>
    </xf>
    <xf numFmtId="44" fontId="18" fillId="6" borderId="11" xfId="0" applyNumberFormat="1" applyFont="1" applyFill="1" applyBorder="1" applyAlignment="1" applyProtection="1"/>
    <xf numFmtId="44" fontId="18" fillId="6" borderId="457" xfId="0" applyNumberFormat="1" applyFont="1" applyFill="1" applyBorder="1" applyAlignment="1" applyProtection="1"/>
    <xf numFmtId="0" fontId="18" fillId="0" borderId="0" xfId="0" applyFont="1" applyFill="1" applyProtection="1"/>
    <xf numFmtId="0" fontId="22" fillId="0" borderId="0" xfId="0" applyFont="1" applyFill="1" applyBorder="1" applyAlignment="1" applyProtection="1"/>
    <xf numFmtId="0" fontId="22" fillId="18" borderId="255" xfId="0" applyFont="1" applyFill="1" applyBorder="1" applyAlignment="1" applyProtection="1">
      <alignment wrapText="1"/>
    </xf>
    <xf numFmtId="166" fontId="18" fillId="0" borderId="264" xfId="0" applyNumberFormat="1" applyFont="1" applyFill="1" applyBorder="1" applyAlignment="1" applyProtection="1">
      <alignment horizontal="left"/>
    </xf>
    <xf numFmtId="166" fontId="18" fillId="0" borderId="73" xfId="0" applyNumberFormat="1" applyFont="1" applyFill="1" applyBorder="1" applyAlignment="1" applyProtection="1"/>
    <xf numFmtId="0" fontId="46" fillId="0" borderId="33" xfId="0" applyFont="1" applyFill="1" applyBorder="1" applyAlignment="1" applyProtection="1"/>
    <xf numFmtId="166" fontId="18" fillId="0" borderId="0" xfId="0" applyNumberFormat="1" applyFont="1" applyFill="1" applyBorder="1" applyAlignment="1" applyProtection="1"/>
    <xf numFmtId="0" fontId="46" fillId="0" borderId="0" xfId="0" applyFont="1" applyFill="1" applyBorder="1" applyAlignment="1" applyProtection="1">
      <alignment horizontal="left"/>
    </xf>
    <xf numFmtId="5" fontId="18" fillId="0" borderId="0" xfId="0" applyNumberFormat="1" applyFont="1" applyFill="1" applyBorder="1" applyAlignment="1" applyProtection="1">
      <alignment horizontal="left"/>
    </xf>
    <xf numFmtId="0" fontId="46" fillId="18" borderId="254" xfId="0" applyFont="1" applyFill="1" applyBorder="1" applyAlignment="1" applyProtection="1">
      <alignment wrapText="1"/>
    </xf>
    <xf numFmtId="44" fontId="22" fillId="6" borderId="287" xfId="0" applyNumberFormat="1" applyFont="1" applyFill="1" applyBorder="1" applyAlignment="1" applyProtection="1"/>
    <xf numFmtId="44" fontId="22" fillId="6" borderId="259" xfId="0" applyNumberFormat="1" applyFont="1" applyFill="1" applyBorder="1" applyAlignment="1" applyProtection="1"/>
    <xf numFmtId="0" fontId="46" fillId="0" borderId="3" xfId="0" applyFont="1" applyFill="1" applyBorder="1" applyAlignment="1" applyProtection="1"/>
    <xf numFmtId="166" fontId="67" fillId="0" borderId="0" xfId="0" applyNumberFormat="1" applyFont="1" applyFill="1" applyBorder="1" applyAlignment="1" applyProtection="1"/>
    <xf numFmtId="5" fontId="21" fillId="0" borderId="34" xfId="0" applyNumberFormat="1" applyFont="1" applyFill="1" applyBorder="1" applyAlignment="1" applyProtection="1"/>
    <xf numFmtId="5" fontId="18" fillId="0" borderId="35" xfId="0" applyNumberFormat="1" applyFont="1" applyFill="1" applyBorder="1" applyAlignment="1" applyProtection="1"/>
    <xf numFmtId="0" fontId="18" fillId="0" borderId="35" xfId="0" applyFont="1" applyFill="1" applyBorder="1" applyAlignment="1" applyProtection="1"/>
    <xf numFmtId="5" fontId="18" fillId="0" borderId="35" xfId="0" applyNumberFormat="1" applyFont="1" applyFill="1" applyBorder="1" applyAlignment="1" applyProtection="1">
      <alignment horizontal="left"/>
    </xf>
    <xf numFmtId="164" fontId="18" fillId="0" borderId="35" xfId="0" applyNumberFormat="1" applyFont="1" applyFill="1" applyBorder="1" applyAlignment="1" applyProtection="1">
      <alignment horizontal="left"/>
    </xf>
    <xf numFmtId="5" fontId="43" fillId="0" borderId="35" xfId="0" applyNumberFormat="1" applyFont="1" applyFill="1" applyBorder="1" applyAlignment="1" applyProtection="1"/>
    <xf numFmtId="5" fontId="43" fillId="0" borderId="36" xfId="0" applyNumberFormat="1" applyFont="1" applyFill="1" applyBorder="1" applyAlignment="1" applyProtection="1"/>
    <xf numFmtId="0" fontId="18" fillId="0" borderId="541" xfId="0" applyFont="1" applyFill="1" applyBorder="1" applyAlignment="1" applyProtection="1">
      <protection locked="0"/>
    </xf>
    <xf numFmtId="0" fontId="18" fillId="0" borderId="544" xfId="0" applyFont="1" applyFill="1" applyBorder="1" applyAlignment="1" applyProtection="1">
      <protection locked="0"/>
    </xf>
    <xf numFmtId="0" fontId="18" fillId="0" borderId="113" xfId="0" applyFont="1" applyFill="1" applyBorder="1" applyAlignment="1" applyProtection="1">
      <protection locked="0"/>
    </xf>
    <xf numFmtId="14" fontId="0" fillId="0" borderId="0" xfId="0" applyNumberFormat="1" applyProtection="1">
      <protection locked="0"/>
    </xf>
    <xf numFmtId="0" fontId="16" fillId="0" borderId="167" xfId="0" applyFont="1" applyFill="1" applyBorder="1" applyAlignment="1" applyProtection="1">
      <alignment horizontal="left"/>
    </xf>
    <xf numFmtId="0" fontId="3" fillId="0" borderId="168" xfId="0" applyFont="1" applyFill="1" applyBorder="1" applyAlignment="1" applyProtection="1"/>
    <xf numFmtId="0" fontId="3" fillId="0" borderId="169" xfId="0" applyFont="1" applyBorder="1" applyAlignment="1" applyProtection="1"/>
    <xf numFmtId="0" fontId="16" fillId="0" borderId="170" xfId="0" applyFont="1" applyFill="1" applyBorder="1" applyAlignment="1" applyProtection="1">
      <alignment horizontal="left"/>
    </xf>
    <xf numFmtId="0" fontId="3" fillId="0" borderId="171" xfId="0" applyFont="1" applyBorder="1" applyAlignment="1" applyProtection="1"/>
    <xf numFmtId="0" fontId="3" fillId="0" borderId="170" xfId="0" applyFont="1" applyFill="1" applyBorder="1" applyAlignment="1" applyProtection="1"/>
    <xf numFmtId="0" fontId="19" fillId="0" borderId="0" xfId="0" applyFont="1" applyBorder="1" applyAlignment="1" applyProtection="1">
      <alignment vertical="center"/>
    </xf>
    <xf numFmtId="0" fontId="47" fillId="6" borderId="6" xfId="0" applyFont="1" applyFill="1" applyBorder="1" applyAlignment="1" applyProtection="1">
      <alignment vertical="top"/>
    </xf>
    <xf numFmtId="0" fontId="47" fillId="0" borderId="0" xfId="0" applyFont="1" applyFill="1" applyBorder="1" applyAlignment="1" applyProtection="1">
      <alignment vertical="top"/>
    </xf>
    <xf numFmtId="0" fontId="22" fillId="0" borderId="0" xfId="0" applyFont="1" applyBorder="1" applyAlignment="1" applyProtection="1">
      <alignment vertical="center"/>
    </xf>
    <xf numFmtId="0" fontId="18" fillId="0" borderId="0" xfId="0" applyFont="1" applyFill="1" applyBorder="1" applyAlignment="1" applyProtection="1">
      <alignment vertical="top"/>
    </xf>
    <xf numFmtId="0" fontId="21" fillId="0" borderId="0" xfId="0" applyFont="1" applyBorder="1" applyAlignment="1" applyProtection="1">
      <alignment vertical="center"/>
    </xf>
    <xf numFmtId="0" fontId="21" fillId="0" borderId="0" xfId="0" applyFont="1" applyBorder="1" applyProtection="1"/>
    <xf numFmtId="0" fontId="22" fillId="0" borderId="0" xfId="0" applyFont="1" applyBorder="1" applyAlignment="1" applyProtection="1">
      <alignment horizontal="right" vertical="center"/>
    </xf>
    <xf numFmtId="3" fontId="18" fillId="0" borderId="12" xfId="0" applyNumberFormat="1" applyFont="1" applyBorder="1" applyProtection="1"/>
    <xf numFmtId="14" fontId="18" fillId="0" borderId="0" xfId="0" applyNumberFormat="1" applyFont="1" applyBorder="1" applyProtection="1"/>
    <xf numFmtId="0" fontId="18" fillId="0" borderId="0" xfId="0" applyNumberFormat="1" applyFont="1" applyBorder="1" applyProtection="1"/>
    <xf numFmtId="5" fontId="48" fillId="0" borderId="96" xfId="0" applyNumberFormat="1" applyFont="1" applyFill="1" applyBorder="1" applyProtection="1"/>
    <xf numFmtId="5" fontId="48" fillId="6" borderId="86" xfId="0" applyNumberFormat="1" applyFont="1" applyFill="1" applyBorder="1" applyProtection="1"/>
    <xf numFmtId="5" fontId="43" fillId="0" borderId="73" xfId="0" applyNumberFormat="1" applyFont="1" applyFill="1" applyBorder="1" applyProtection="1"/>
    <xf numFmtId="5" fontId="43" fillId="0" borderId="12" xfId="0" applyNumberFormat="1" applyFont="1" applyFill="1" applyBorder="1" applyProtection="1"/>
    <xf numFmtId="5" fontId="49" fillId="6" borderId="96" xfId="0" applyNumberFormat="1" applyFont="1" applyFill="1" applyBorder="1" applyProtection="1"/>
    <xf numFmtId="5" fontId="49" fillId="6" borderId="86" xfId="0" applyNumberFormat="1" applyFont="1" applyFill="1" applyBorder="1" applyProtection="1"/>
    <xf numFmtId="0" fontId="49" fillId="6" borderId="86" xfId="0" applyFont="1" applyFill="1" applyBorder="1" applyAlignment="1" applyProtection="1"/>
    <xf numFmtId="0" fontId="38" fillId="0" borderId="170" xfId="0" applyFont="1" applyFill="1" applyBorder="1" applyAlignment="1" applyProtection="1"/>
    <xf numFmtId="0" fontId="18" fillId="0" borderId="0" xfId="0" applyFont="1" applyAlignment="1" applyProtection="1"/>
    <xf numFmtId="5" fontId="43" fillId="0" borderId="251" xfId="0" applyNumberFormat="1" applyFont="1" applyFill="1" applyBorder="1" applyProtection="1"/>
    <xf numFmtId="0" fontId="18" fillId="0" borderId="73" xfId="0" applyFont="1" applyBorder="1" applyProtection="1"/>
    <xf numFmtId="3" fontId="18" fillId="0" borderId="12" xfId="0" applyNumberFormat="1" applyFont="1" applyFill="1" applyBorder="1" applyProtection="1"/>
    <xf numFmtId="5" fontId="46" fillId="0" borderId="12" xfId="0" applyNumberFormat="1" applyFont="1" applyFill="1" applyBorder="1" applyAlignment="1" applyProtection="1">
      <alignment horizontal="center"/>
    </xf>
    <xf numFmtId="0" fontId="18" fillId="0" borderId="12" xfId="0" applyNumberFormat="1" applyFont="1" applyBorder="1" applyProtection="1"/>
    <xf numFmtId="0" fontId="18" fillId="0" borderId="12" xfId="0" applyFont="1" applyBorder="1" applyProtection="1"/>
    <xf numFmtId="0" fontId="15" fillId="0" borderId="170" xfId="0" applyFont="1" applyFill="1" applyBorder="1" applyAlignment="1" applyProtection="1"/>
    <xf numFmtId="5" fontId="18" fillId="0" borderId="0" xfId="0" applyNumberFormat="1" applyFont="1" applyBorder="1" applyProtection="1"/>
    <xf numFmtId="0" fontId="3" fillId="0" borderId="164" xfId="0" applyFont="1" applyFill="1" applyBorder="1" applyAlignment="1" applyProtection="1"/>
    <xf numFmtId="0" fontId="18" fillId="0" borderId="165" xfId="0" applyFont="1" applyBorder="1" applyAlignment="1" applyProtection="1"/>
    <xf numFmtId="0" fontId="3" fillId="0" borderId="166" xfId="0" applyFont="1" applyBorder="1" applyAlignment="1" applyProtection="1"/>
    <xf numFmtId="0" fontId="18" fillId="6" borderId="78" xfId="0" applyFont="1" applyFill="1" applyBorder="1" applyProtection="1"/>
    <xf numFmtId="3" fontId="18" fillId="0" borderId="0" xfId="0" applyNumberFormat="1" applyFont="1" applyBorder="1" applyProtection="1"/>
    <xf numFmtId="5" fontId="46" fillId="0" borderId="0" xfId="0" applyNumberFormat="1" applyFont="1" applyFill="1" applyBorder="1" applyAlignment="1" applyProtection="1">
      <alignment horizontal="center"/>
    </xf>
    <xf numFmtId="0" fontId="3" fillId="0" borderId="165" xfId="0" applyFont="1" applyBorder="1" applyAlignment="1" applyProtection="1"/>
    <xf numFmtId="6" fontId="18" fillId="0" borderId="277" xfId="0" applyNumberFormat="1" applyFont="1" applyFill="1" applyBorder="1" applyAlignment="1" applyProtection="1">
      <protection locked="0"/>
    </xf>
    <xf numFmtId="0" fontId="18" fillId="0" borderId="279" xfId="0" applyFont="1" applyFill="1" applyBorder="1" applyAlignment="1" applyProtection="1">
      <protection locked="0"/>
    </xf>
    <xf numFmtId="6" fontId="18" fillId="0" borderId="121" xfId="0" applyNumberFormat="1" applyFont="1" applyFill="1" applyBorder="1" applyAlignment="1" applyProtection="1">
      <protection locked="0"/>
    </xf>
    <xf numFmtId="0" fontId="18" fillId="0" borderId="120" xfId="0" applyFont="1" applyFill="1" applyBorder="1" applyAlignment="1" applyProtection="1">
      <protection locked="0"/>
    </xf>
    <xf numFmtId="6" fontId="18" fillId="0" borderId="135" xfId="0" applyNumberFormat="1" applyFont="1" applyFill="1" applyBorder="1" applyAlignment="1" applyProtection="1">
      <protection locked="0"/>
    </xf>
    <xf numFmtId="0" fontId="18" fillId="0" borderId="149" xfId="0" applyFont="1" applyFill="1" applyBorder="1" applyAlignment="1" applyProtection="1">
      <protection locked="0"/>
    </xf>
    <xf numFmtId="5" fontId="18" fillId="0" borderId="277" xfId="0" applyNumberFormat="1" applyFont="1" applyFill="1" applyBorder="1" applyAlignment="1" applyProtection="1">
      <protection locked="0"/>
    </xf>
    <xf numFmtId="5" fontId="18" fillId="0" borderId="121" xfId="0" applyNumberFormat="1" applyFont="1" applyFill="1" applyBorder="1" applyAlignment="1" applyProtection="1">
      <protection locked="0"/>
    </xf>
    <xf numFmtId="5" fontId="18" fillId="0" borderId="135" xfId="0" applyNumberFormat="1" applyFont="1" applyFill="1" applyBorder="1" applyAlignment="1" applyProtection="1">
      <protection locked="0"/>
    </xf>
    <xf numFmtId="42" fontId="43" fillId="0" borderId="84" xfId="0" applyNumberFormat="1" applyFont="1" applyFill="1" applyBorder="1" applyAlignment="1" applyProtection="1">
      <protection locked="0"/>
    </xf>
    <xf numFmtId="42" fontId="43" fillId="0" borderId="150" xfId="0" applyNumberFormat="1" applyFont="1" applyFill="1" applyBorder="1" applyAlignment="1" applyProtection="1">
      <protection locked="0"/>
    </xf>
    <xf numFmtId="0" fontId="23" fillId="0" borderId="167" xfId="0" applyFont="1" applyFill="1" applyBorder="1" applyAlignment="1" applyProtection="1">
      <alignment horizontal="left"/>
    </xf>
    <xf numFmtId="0" fontId="18" fillId="0" borderId="168" xfId="0" applyFont="1" applyFill="1" applyBorder="1" applyAlignment="1" applyProtection="1"/>
    <xf numFmtId="0" fontId="18" fillId="0" borderId="191" xfId="0" applyFont="1" applyFill="1" applyBorder="1" applyAlignment="1" applyProtection="1"/>
    <xf numFmtId="0" fontId="23" fillId="0" borderId="170" xfId="0" applyFont="1" applyFill="1" applyBorder="1" applyAlignment="1" applyProtection="1">
      <alignment horizontal="left"/>
    </xf>
    <xf numFmtId="0" fontId="19" fillId="0" borderId="0" xfId="0" applyFont="1" applyFill="1" applyBorder="1" applyAlignment="1" applyProtection="1">
      <alignment vertical="center"/>
    </xf>
    <xf numFmtId="0" fontId="18" fillId="6" borderId="6" xfId="0" applyFont="1" applyFill="1" applyBorder="1" applyAlignment="1" applyProtection="1">
      <alignment vertical="center"/>
    </xf>
    <xf numFmtId="0" fontId="0" fillId="6" borderId="6" xfId="0" applyFont="1" applyFill="1" applyBorder="1" applyProtection="1"/>
    <xf numFmtId="0" fontId="22" fillId="0" borderId="0" xfId="0" applyFont="1" applyFill="1" applyBorder="1" applyAlignment="1" applyProtection="1">
      <alignment vertical="center"/>
    </xf>
    <xf numFmtId="0" fontId="19" fillId="0" borderId="0" xfId="0" applyFont="1" applyFill="1" applyBorder="1" applyAlignment="1" applyProtection="1">
      <alignment horizontal="right"/>
    </xf>
    <xf numFmtId="0" fontId="3" fillId="6" borderId="6" xfId="0" applyFont="1" applyFill="1" applyBorder="1" applyProtection="1"/>
    <xf numFmtId="0" fontId="20" fillId="18" borderId="287" xfId="0" applyFont="1" applyFill="1" applyBorder="1" applyAlignment="1" applyProtection="1"/>
    <xf numFmtId="0" fontId="20" fillId="18" borderId="452" xfId="0" applyFont="1" applyFill="1" applyBorder="1" applyAlignment="1" applyProtection="1"/>
    <xf numFmtId="0" fontId="20" fillId="18" borderId="428" xfId="0" applyFont="1" applyFill="1" applyBorder="1" applyAlignment="1" applyProtection="1"/>
    <xf numFmtId="0" fontId="18" fillId="18" borderId="482" xfId="0" applyFont="1" applyFill="1" applyBorder="1" applyAlignment="1" applyProtection="1">
      <alignment wrapText="1"/>
    </xf>
    <xf numFmtId="166" fontId="18" fillId="18" borderId="482" xfId="0" applyNumberFormat="1" applyFont="1" applyFill="1" applyBorder="1" applyAlignment="1" applyProtection="1">
      <alignment wrapText="1"/>
    </xf>
    <xf numFmtId="9" fontId="18" fillId="18" borderId="482" xfId="0" applyNumberFormat="1" applyFont="1" applyFill="1" applyBorder="1" applyAlignment="1" applyProtection="1">
      <alignment wrapText="1"/>
    </xf>
    <xf numFmtId="166" fontId="18" fillId="18" borderId="483" xfId="0" applyNumberFormat="1" applyFont="1" applyFill="1" applyBorder="1" applyAlignment="1" applyProtection="1">
      <alignment wrapText="1"/>
    </xf>
    <xf numFmtId="0" fontId="18" fillId="0" borderId="12" xfId="0" applyFont="1" applyFill="1" applyBorder="1" applyProtection="1"/>
    <xf numFmtId="166" fontId="18" fillId="0" borderId="0" xfId="0" applyNumberFormat="1" applyFont="1" applyFill="1" applyBorder="1" applyAlignment="1" applyProtection="1">
      <alignment horizontal="right" wrapText="1"/>
    </xf>
    <xf numFmtId="9" fontId="18" fillId="0" borderId="0" xfId="0" applyNumberFormat="1" applyFont="1" applyFill="1" applyBorder="1" applyAlignment="1" applyProtection="1">
      <alignment horizontal="right" wrapText="1"/>
    </xf>
    <xf numFmtId="166" fontId="18" fillId="0" borderId="33" xfId="0" applyNumberFormat="1" applyFont="1" applyFill="1" applyBorder="1" applyAlignment="1" applyProtection="1">
      <alignment horizontal="right" wrapText="1"/>
    </xf>
    <xf numFmtId="3" fontId="50" fillId="0" borderId="12" xfId="0" applyNumberFormat="1" applyFont="1" applyFill="1" applyBorder="1" applyAlignment="1" applyProtection="1">
      <alignment wrapText="1"/>
    </xf>
    <xf numFmtId="0" fontId="18" fillId="0" borderId="34" xfId="0" applyFont="1" applyFill="1" applyBorder="1" applyProtection="1"/>
    <xf numFmtId="0" fontId="18" fillId="0" borderId="35" xfId="0" applyFont="1" applyFill="1" applyBorder="1" applyAlignment="1" applyProtection="1">
      <alignment horizontal="left" wrapText="1"/>
    </xf>
    <xf numFmtId="0" fontId="46" fillId="6" borderId="209" xfId="0" applyNumberFormat="1" applyFont="1" applyFill="1" applyBorder="1" applyAlignment="1" applyProtection="1">
      <alignment horizontal="center" vertical="center" wrapText="1"/>
    </xf>
    <xf numFmtId="0" fontId="46" fillId="6" borderId="485" xfId="0" applyNumberFormat="1" applyFont="1" applyFill="1" applyBorder="1" applyAlignment="1" applyProtection="1">
      <alignment horizontal="center" vertical="center" wrapText="1"/>
    </xf>
    <xf numFmtId="0" fontId="0" fillId="0" borderId="0" xfId="0" applyFont="1" applyFill="1" applyBorder="1" applyProtection="1"/>
    <xf numFmtId="3" fontId="19" fillId="0" borderId="0" xfId="0" applyNumberFormat="1" applyFont="1" applyFill="1" applyProtection="1"/>
    <xf numFmtId="0" fontId="18" fillId="0" borderId="35" xfId="0" applyFont="1" applyFill="1" applyBorder="1" applyAlignment="1" applyProtection="1">
      <alignment horizontal="center"/>
    </xf>
    <xf numFmtId="166" fontId="18" fillId="0" borderId="35" xfId="0" applyNumberFormat="1" applyFont="1" applyFill="1" applyBorder="1" applyProtection="1"/>
    <xf numFmtId="9" fontId="18" fillId="0" borderId="35" xfId="0" applyNumberFormat="1" applyFont="1" applyFill="1" applyBorder="1" applyAlignment="1" applyProtection="1">
      <alignment horizontal="center"/>
    </xf>
    <xf numFmtId="166" fontId="18" fillId="0" borderId="35" xfId="0" applyNumberFormat="1" applyFont="1" applyFill="1" applyBorder="1" applyAlignment="1" applyProtection="1">
      <alignment horizontal="center"/>
    </xf>
    <xf numFmtId="3" fontId="18" fillId="0" borderId="35" xfId="0" applyNumberFormat="1" applyFont="1" applyFill="1" applyBorder="1" applyProtection="1"/>
    <xf numFmtId="166" fontId="19" fillId="6" borderId="147" xfId="0" applyNumberFormat="1" applyFont="1" applyFill="1" applyBorder="1" applyAlignment="1" applyProtection="1"/>
    <xf numFmtId="166" fontId="19" fillId="6" borderId="258" xfId="0" applyNumberFormat="1" applyFont="1" applyFill="1" applyBorder="1" applyAlignment="1" applyProtection="1">
      <alignment horizontal="right"/>
    </xf>
    <xf numFmtId="166" fontId="19" fillId="6" borderId="254" xfId="0" applyNumberFormat="1" applyFont="1" applyFill="1" applyBorder="1" applyAlignment="1" applyProtection="1">
      <alignment horizontal="right"/>
    </xf>
    <xf numFmtId="166" fontId="19" fillId="6" borderId="255" xfId="0" applyNumberFormat="1" applyFont="1" applyFill="1" applyBorder="1" applyAlignment="1" applyProtection="1">
      <alignment horizontal="right"/>
    </xf>
    <xf numFmtId="166" fontId="19" fillId="6" borderId="23" xfId="0" applyNumberFormat="1" applyFont="1" applyFill="1" applyBorder="1" applyProtection="1"/>
    <xf numFmtId="166" fontId="19" fillId="6" borderId="16" xfId="0" applyNumberFormat="1" applyFont="1" applyFill="1" applyBorder="1" applyProtection="1"/>
    <xf numFmtId="166" fontId="19" fillId="6" borderId="22" xfId="0" applyNumberFormat="1" applyFont="1" applyFill="1" applyBorder="1" applyProtection="1"/>
    <xf numFmtId="0" fontId="17" fillId="0" borderId="477" xfId="0" applyFont="1" applyFill="1" applyBorder="1" applyAlignment="1" applyProtection="1">
      <alignment horizontal="center"/>
      <protection locked="0"/>
    </xf>
    <xf numFmtId="0" fontId="59" fillId="0" borderId="78" xfId="0" applyFont="1" applyFill="1" applyBorder="1" applyAlignment="1" applyProtection="1">
      <alignment horizontal="left" vertical="center"/>
      <protection locked="0"/>
    </xf>
    <xf numFmtId="0" fontId="18" fillId="0" borderId="334" xfId="0" applyFont="1" applyFill="1" applyBorder="1" applyProtection="1"/>
    <xf numFmtId="0" fontId="18" fillId="0" borderId="335" xfId="0" applyFont="1" applyFill="1" applyBorder="1" applyProtection="1"/>
    <xf numFmtId="0" fontId="18" fillId="0" borderId="365" xfId="0" applyFont="1" applyFill="1" applyBorder="1" applyProtection="1"/>
    <xf numFmtId="0" fontId="18" fillId="0" borderId="332" xfId="0" applyFont="1" applyFill="1" applyBorder="1" applyProtection="1"/>
    <xf numFmtId="0" fontId="18" fillId="0" borderId="330" xfId="0" applyFont="1" applyFill="1" applyBorder="1" applyProtection="1"/>
    <xf numFmtId="0" fontId="18" fillId="0" borderId="357" xfId="0" applyFont="1" applyFill="1" applyBorder="1" applyProtection="1"/>
    <xf numFmtId="0" fontId="18" fillId="0" borderId="394" xfId="0" applyFont="1" applyFill="1" applyBorder="1" applyProtection="1"/>
    <xf numFmtId="165" fontId="18" fillId="0" borderId="251" xfId="0" applyNumberFormat="1" applyFont="1" applyFill="1" applyBorder="1" applyProtection="1"/>
    <xf numFmtId="9" fontId="18" fillId="0" borderId="0" xfId="0" applyNumberFormat="1" applyFont="1" applyFill="1" applyBorder="1" applyProtection="1"/>
    <xf numFmtId="0" fontId="18" fillId="0" borderId="303" xfId="0" applyFont="1" applyFill="1" applyBorder="1" applyProtection="1"/>
    <xf numFmtId="9" fontId="18" fillId="0" borderId="303" xfId="0" applyNumberFormat="1" applyFont="1" applyFill="1" applyBorder="1" applyProtection="1"/>
    <xf numFmtId="0" fontId="18" fillId="0" borderId="352" xfId="0" applyFont="1" applyFill="1" applyBorder="1" applyProtection="1"/>
    <xf numFmtId="5" fontId="69" fillId="6" borderId="371" xfId="0" applyNumberFormat="1" applyFont="1" applyFill="1" applyBorder="1" applyAlignment="1" applyProtection="1">
      <alignment vertical="center"/>
    </xf>
    <xf numFmtId="5" fontId="69" fillId="6" borderId="372" xfId="0" applyNumberFormat="1" applyFont="1" applyFill="1" applyBorder="1" applyAlignment="1" applyProtection="1">
      <alignment vertical="center"/>
    </xf>
    <xf numFmtId="5" fontId="69" fillId="6" borderId="373" xfId="0" applyNumberFormat="1" applyFont="1" applyFill="1" applyBorder="1" applyAlignment="1" applyProtection="1">
      <alignment vertical="center"/>
    </xf>
    <xf numFmtId="0" fontId="18" fillId="0" borderId="363" xfId="0" applyFont="1" applyFill="1" applyBorder="1" applyProtection="1"/>
    <xf numFmtId="5" fontId="69" fillId="6" borderId="374" xfId="0" applyNumberFormat="1" applyFont="1" applyFill="1" applyBorder="1" applyAlignment="1" applyProtection="1">
      <alignment vertical="center"/>
    </xf>
    <xf numFmtId="5" fontId="69" fillId="6" borderId="375" xfId="0" applyNumberFormat="1" applyFont="1" applyFill="1" applyBorder="1" applyAlignment="1" applyProtection="1">
      <alignment vertical="center"/>
    </xf>
    <xf numFmtId="5" fontId="69" fillId="6" borderId="376" xfId="0" applyNumberFormat="1" applyFont="1" applyFill="1" applyBorder="1" applyAlignment="1" applyProtection="1">
      <alignment vertical="center"/>
    </xf>
    <xf numFmtId="165" fontId="18" fillId="0" borderId="421" xfId="0" applyNumberFormat="1" applyFont="1" applyFill="1" applyBorder="1" applyProtection="1"/>
    <xf numFmtId="165" fontId="43" fillId="0" borderId="60" xfId="0" applyNumberFormat="1" applyFont="1" applyFill="1" applyBorder="1" applyAlignment="1" applyProtection="1">
      <alignment vertical="center"/>
    </xf>
    <xf numFmtId="165" fontId="43" fillId="0" borderId="421" xfId="0" applyNumberFormat="1" applyFont="1" applyFill="1" applyBorder="1" applyAlignment="1" applyProtection="1">
      <alignment vertical="center"/>
    </xf>
    <xf numFmtId="165" fontId="43" fillId="0" borderId="2" xfId="0" applyNumberFormat="1" applyFont="1" applyFill="1" applyBorder="1" applyAlignment="1" applyProtection="1">
      <alignment vertical="center"/>
    </xf>
    <xf numFmtId="165" fontId="43" fillId="0" borderId="303" xfId="0" applyNumberFormat="1" applyFont="1" applyFill="1" applyBorder="1" applyAlignment="1" applyProtection="1">
      <alignment vertical="center"/>
    </xf>
    <xf numFmtId="0" fontId="18" fillId="24" borderId="0" xfId="0" applyFont="1" applyFill="1" applyProtection="1"/>
    <xf numFmtId="49" fontId="43" fillId="0" borderId="0" xfId="0" applyNumberFormat="1" applyFont="1" applyFill="1" applyBorder="1" applyAlignment="1" applyProtection="1">
      <alignment horizontal="left" vertical="center"/>
    </xf>
    <xf numFmtId="44" fontId="43" fillId="0" borderId="0" xfId="0" applyNumberFormat="1" applyFont="1" applyFill="1" applyBorder="1" applyAlignment="1" applyProtection="1">
      <alignment horizontal="right" vertical="center"/>
    </xf>
    <xf numFmtId="44" fontId="40" fillId="0" borderId="0" xfId="0" applyNumberFormat="1" applyFont="1" applyFill="1" applyBorder="1" applyAlignment="1" applyProtection="1">
      <alignment horizontal="right" vertical="center"/>
    </xf>
    <xf numFmtId="6" fontId="43" fillId="0" borderId="0" xfId="0" applyNumberFormat="1" applyFont="1" applyFill="1" applyBorder="1" applyAlignment="1" applyProtection="1">
      <alignment horizontal="right" vertical="center"/>
    </xf>
    <xf numFmtId="6" fontId="43" fillId="6" borderId="68" xfId="0" applyNumberFormat="1" applyFont="1" applyFill="1" applyBorder="1" applyProtection="1"/>
    <xf numFmtId="6" fontId="43" fillId="6" borderId="69" xfId="0" applyNumberFormat="1" applyFont="1" applyFill="1" applyBorder="1" applyProtection="1"/>
    <xf numFmtId="166" fontId="43" fillId="6" borderId="69" xfId="0" applyNumberFormat="1" applyFont="1" applyFill="1" applyBorder="1" applyProtection="1"/>
    <xf numFmtId="166" fontId="43" fillId="6" borderId="70" xfId="0" applyNumberFormat="1" applyFont="1" applyFill="1" applyBorder="1" applyProtection="1"/>
    <xf numFmtId="6" fontId="69" fillId="6" borderId="371" xfId="0" applyNumberFormat="1" applyFont="1" applyFill="1" applyBorder="1" applyAlignment="1" applyProtection="1">
      <alignment vertical="center"/>
    </xf>
    <xf numFmtId="6" fontId="69" fillId="6" borderId="372" xfId="0" applyNumberFormat="1" applyFont="1" applyFill="1" applyBorder="1" applyAlignment="1" applyProtection="1">
      <alignment vertical="center"/>
    </xf>
    <xf numFmtId="6" fontId="69" fillId="6" borderId="373" xfId="0" applyNumberFormat="1" applyFont="1" applyFill="1" applyBorder="1" applyAlignment="1" applyProtection="1">
      <alignment vertical="center"/>
    </xf>
    <xf numFmtId="6" fontId="69" fillId="6" borderId="374" xfId="0" applyNumberFormat="1" applyFont="1" applyFill="1" applyBorder="1" applyAlignment="1" applyProtection="1">
      <alignment vertical="center"/>
    </xf>
    <xf numFmtId="6" fontId="69" fillId="6" borderId="375" xfId="0" applyNumberFormat="1" applyFont="1" applyFill="1" applyBorder="1" applyAlignment="1" applyProtection="1">
      <alignment vertical="center"/>
    </xf>
    <xf numFmtId="6" fontId="69" fillId="6" borderId="376" xfId="0" applyNumberFormat="1" applyFont="1" applyFill="1" applyBorder="1" applyAlignment="1" applyProtection="1">
      <alignment vertical="center"/>
    </xf>
    <xf numFmtId="0" fontId="18" fillId="0" borderId="338" xfId="0" applyFont="1" applyFill="1" applyBorder="1" applyProtection="1"/>
    <xf numFmtId="0" fontId="18" fillId="0" borderId="164" xfId="0" applyFont="1" applyFill="1" applyBorder="1" applyProtection="1"/>
    <xf numFmtId="0" fontId="18" fillId="0" borderId="166" xfId="0" applyFont="1" applyFill="1" applyBorder="1" applyProtection="1"/>
    <xf numFmtId="0" fontId="59" fillId="6" borderId="78" xfId="0" applyFont="1" applyFill="1" applyBorder="1" applyAlignment="1" applyProtection="1">
      <alignment horizontal="left" vertical="center"/>
    </xf>
    <xf numFmtId="14" fontId="59" fillId="0" borderId="78" xfId="0" applyNumberFormat="1" applyFont="1" applyFill="1" applyBorder="1" applyAlignment="1" applyProtection="1">
      <alignment horizontal="left" vertical="center"/>
      <protection locked="0"/>
    </xf>
    <xf numFmtId="14" fontId="59" fillId="6" borderId="78" xfId="0" applyNumberFormat="1" applyFont="1" applyFill="1" applyBorder="1" applyAlignment="1" applyProtection="1">
      <alignment horizontal="left" vertical="center"/>
    </xf>
    <xf numFmtId="165" fontId="18" fillId="8" borderId="357" xfId="0" applyNumberFormat="1" applyFont="1" applyFill="1" applyBorder="1" applyProtection="1"/>
    <xf numFmtId="5" fontId="43" fillId="8" borderId="316" xfId="0" applyNumberFormat="1" applyFont="1" applyFill="1" applyBorder="1" applyAlignment="1" applyProtection="1">
      <alignment horizontal="right" vertical="center"/>
    </xf>
    <xf numFmtId="5" fontId="43" fillId="8" borderId="317" xfId="0" applyNumberFormat="1" applyFont="1" applyFill="1" applyBorder="1" applyAlignment="1" applyProtection="1">
      <alignment horizontal="right" vertical="center"/>
    </xf>
    <xf numFmtId="6" fontId="43" fillId="8" borderId="315" xfId="0" applyNumberFormat="1" applyFont="1" applyFill="1" applyBorder="1" applyAlignment="1" applyProtection="1">
      <alignment horizontal="right" vertical="center"/>
    </xf>
    <xf numFmtId="6" fontId="43" fillId="8" borderId="316" xfId="0" applyNumberFormat="1" applyFont="1" applyFill="1" applyBorder="1" applyAlignment="1" applyProtection="1">
      <alignment horizontal="right" vertical="center"/>
    </xf>
    <xf numFmtId="6" fontId="43" fillId="8" borderId="317" xfId="0" applyNumberFormat="1" applyFont="1" applyFill="1" applyBorder="1" applyAlignment="1" applyProtection="1">
      <alignment horizontal="right" vertical="center"/>
    </xf>
    <xf numFmtId="0" fontId="46" fillId="6" borderId="257" xfId="0" applyNumberFormat="1" applyFont="1" applyFill="1" applyBorder="1" applyAlignment="1" applyProtection="1">
      <alignment vertical="center"/>
    </xf>
    <xf numFmtId="0" fontId="18" fillId="0" borderId="297" xfId="0" applyFont="1" applyFill="1" applyBorder="1" applyAlignment="1" applyProtection="1"/>
    <xf numFmtId="0" fontId="18" fillId="0" borderId="298" xfId="0" applyFont="1" applyBorder="1" applyAlignment="1" applyProtection="1"/>
    <xf numFmtId="166" fontId="22" fillId="0" borderId="298" xfId="0" applyNumberFormat="1" applyFont="1" applyBorder="1" applyProtection="1"/>
    <xf numFmtId="0" fontId="22" fillId="0" borderId="299" xfId="0" applyFont="1" applyBorder="1" applyProtection="1"/>
    <xf numFmtId="0" fontId="18" fillId="0" borderId="294" xfId="0" applyFont="1" applyFill="1" applyBorder="1" applyAlignment="1" applyProtection="1"/>
    <xf numFmtId="0" fontId="22" fillId="0" borderId="296" xfId="0" applyFont="1" applyBorder="1" applyProtection="1"/>
    <xf numFmtId="0" fontId="17" fillId="0" borderId="0" xfId="0" applyFont="1" applyFill="1" applyBorder="1" applyAlignment="1" applyProtection="1">
      <alignment horizontal="right"/>
    </xf>
    <xf numFmtId="0" fontId="71" fillId="0" borderId="0" xfId="0" applyFont="1" applyFill="1" applyBorder="1" applyProtection="1"/>
    <xf numFmtId="166" fontId="22" fillId="0" borderId="0" xfId="0" applyNumberFormat="1" applyFont="1" applyBorder="1" applyProtection="1"/>
    <xf numFmtId="0" fontId="22" fillId="0" borderId="296" xfId="0" applyFont="1" applyFill="1" applyBorder="1" applyProtection="1"/>
    <xf numFmtId="0" fontId="21" fillId="0" borderId="0" xfId="0" applyFont="1" applyFill="1" applyBorder="1" applyProtection="1"/>
    <xf numFmtId="0" fontId="18" fillId="0" borderId="295" xfId="0" applyFont="1" applyFill="1" applyBorder="1" applyAlignment="1" applyProtection="1"/>
    <xf numFmtId="0" fontId="59" fillId="0" borderId="300" xfId="0" applyFont="1" applyFill="1" applyBorder="1" applyAlignment="1" applyProtection="1"/>
    <xf numFmtId="0" fontId="18" fillId="0" borderId="300" xfId="0" applyFont="1" applyFill="1" applyBorder="1" applyAlignment="1" applyProtection="1">
      <alignment vertical="top"/>
    </xf>
    <xf numFmtId="0" fontId="22" fillId="0" borderId="301" xfId="0" applyFont="1" applyFill="1" applyBorder="1" applyProtection="1"/>
    <xf numFmtId="0" fontId="18" fillId="0" borderId="167" xfId="0" applyFont="1" applyFill="1" applyBorder="1" applyProtection="1"/>
    <xf numFmtId="0" fontId="18" fillId="0" borderId="168" xfId="0" applyFont="1" applyFill="1" applyBorder="1" applyProtection="1"/>
    <xf numFmtId="0" fontId="18" fillId="0" borderId="169" xfId="0" applyFont="1" applyFill="1" applyBorder="1" applyProtection="1"/>
    <xf numFmtId="0" fontId="18" fillId="0" borderId="170" xfId="0" applyFont="1" applyFill="1" applyBorder="1" applyProtection="1"/>
    <xf numFmtId="0" fontId="18" fillId="0" borderId="171" xfId="0" applyFont="1" applyFill="1" applyBorder="1" applyProtection="1"/>
    <xf numFmtId="0" fontId="18" fillId="0" borderId="170" xfId="0" applyFont="1" applyFill="1" applyBorder="1" applyAlignment="1" applyProtection="1"/>
    <xf numFmtId="5" fontId="25" fillId="0" borderId="171" xfId="0" applyNumberFormat="1" applyFont="1" applyFill="1" applyBorder="1" applyAlignment="1" applyProtection="1"/>
    <xf numFmtId="0" fontId="18" fillId="3" borderId="170" xfId="0" applyFont="1" applyFill="1" applyBorder="1" applyProtection="1"/>
    <xf numFmtId="0" fontId="18" fillId="3" borderId="171" xfId="0" applyFont="1" applyFill="1" applyBorder="1" applyProtection="1"/>
    <xf numFmtId="0" fontId="18" fillId="6" borderId="6" xfId="0" applyFont="1" applyFill="1" applyBorder="1" applyAlignment="1" applyProtection="1"/>
    <xf numFmtId="0" fontId="23" fillId="0" borderId="33" xfId="0" applyFont="1" applyFill="1" applyBorder="1" applyAlignment="1" applyProtection="1">
      <alignment horizontal="center"/>
    </xf>
    <xf numFmtId="0" fontId="23" fillId="0" borderId="0" xfId="0" applyFont="1" applyFill="1" applyBorder="1" applyAlignment="1" applyProtection="1">
      <alignment horizontal="center" wrapText="1"/>
    </xf>
    <xf numFmtId="0" fontId="23" fillId="0" borderId="0" xfId="0" applyFont="1" applyFill="1" applyBorder="1" applyAlignment="1" applyProtection="1">
      <alignment horizontal="center"/>
    </xf>
    <xf numFmtId="0" fontId="18" fillId="5" borderId="15" xfId="0" applyFont="1" applyFill="1" applyBorder="1" applyAlignment="1" applyProtection="1">
      <alignment vertical="top"/>
    </xf>
    <xf numFmtId="0" fontId="18" fillId="0" borderId="0" xfId="0" applyFont="1" applyBorder="1" applyAlignment="1" applyProtection="1">
      <alignment wrapText="1"/>
      <protection locked="0"/>
    </xf>
    <xf numFmtId="0" fontId="18" fillId="0" borderId="0" xfId="0" applyFont="1" applyProtection="1">
      <protection locked="0"/>
    </xf>
    <xf numFmtId="0" fontId="18" fillId="0" borderId="0" xfId="0" applyFont="1" applyProtection="1"/>
    <xf numFmtId="0" fontId="22" fillId="0" borderId="0" xfId="0" applyFont="1" applyBorder="1" applyAlignment="1" applyProtection="1">
      <alignment horizontal="center" wrapText="1"/>
    </xf>
    <xf numFmtId="49" fontId="18" fillId="0" borderId="0" xfId="0" applyNumberFormat="1" applyFont="1" applyFill="1" applyBorder="1" applyAlignment="1" applyProtection="1">
      <alignment horizontal="center" wrapText="1"/>
    </xf>
    <xf numFmtId="0" fontId="0" fillId="0" borderId="491" xfId="0" applyFont="1" applyBorder="1" applyProtection="1">
      <protection locked="0"/>
    </xf>
    <xf numFmtId="0" fontId="0" fillId="0" borderId="492" xfId="0" applyFont="1" applyBorder="1" applyProtection="1">
      <protection locked="0"/>
    </xf>
    <xf numFmtId="0" fontId="0" fillId="0" borderId="493" xfId="0" applyFont="1" applyBorder="1" applyProtection="1">
      <protection locked="0"/>
    </xf>
    <xf numFmtId="0" fontId="18" fillId="6" borderId="6" xfId="0" applyFont="1" applyFill="1" applyBorder="1" applyProtection="1"/>
    <xf numFmtId="0" fontId="19" fillId="0" borderId="78" xfId="0" applyFont="1" applyFill="1" applyBorder="1" applyProtection="1">
      <protection locked="0"/>
    </xf>
    <xf numFmtId="0" fontId="2" fillId="0" borderId="0" xfId="0" applyFont="1" applyFill="1" applyProtection="1">
      <protection locked="0"/>
    </xf>
    <xf numFmtId="0" fontId="19" fillId="0" borderId="477" xfId="0" applyFont="1" applyFill="1" applyBorder="1" applyProtection="1">
      <protection locked="0"/>
    </xf>
    <xf numFmtId="0" fontId="57" fillId="0" borderId="167" xfId="0" applyFont="1" applyFill="1" applyBorder="1" applyProtection="1"/>
    <xf numFmtId="0" fontId="57" fillId="0" borderId="168" xfId="0" applyFont="1" applyFill="1" applyBorder="1" applyAlignment="1" applyProtection="1">
      <alignment wrapText="1"/>
    </xf>
    <xf numFmtId="0" fontId="57" fillId="0" borderId="169" xfId="0" applyFont="1" applyFill="1" applyBorder="1" applyProtection="1"/>
    <xf numFmtId="0" fontId="57" fillId="0" borderId="170" xfId="0" applyFont="1" applyFill="1" applyBorder="1" applyProtection="1"/>
    <xf numFmtId="0" fontId="57" fillId="0" borderId="171" xfId="0" applyFont="1" applyFill="1" applyBorder="1" applyProtection="1"/>
    <xf numFmtId="0" fontId="22" fillId="0" borderId="0" xfId="0"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19" fillId="0" borderId="6" xfId="0" applyFont="1" applyFill="1" applyBorder="1" applyAlignment="1" applyProtection="1"/>
    <xf numFmtId="0" fontId="57" fillId="0" borderId="6" xfId="0" applyFont="1" applyFill="1" applyBorder="1" applyProtection="1"/>
    <xf numFmtId="0" fontId="19" fillId="0" borderId="6" xfId="0" applyFont="1" applyFill="1" applyBorder="1" applyProtection="1"/>
    <xf numFmtId="0" fontId="19" fillId="0" borderId="6" xfId="0" applyFont="1" applyFill="1" applyBorder="1" applyAlignment="1" applyProtection="1">
      <alignment horizontal="center"/>
    </xf>
    <xf numFmtId="0" fontId="57" fillId="0" borderId="0" xfId="0" applyFont="1" applyFill="1" applyBorder="1" applyAlignment="1" applyProtection="1"/>
    <xf numFmtId="0" fontId="57" fillId="0" borderId="0" xfId="0" applyFont="1" applyFill="1" applyBorder="1" applyAlignment="1" applyProtection="1">
      <alignment horizontal="left" indent="2"/>
    </xf>
    <xf numFmtId="0" fontId="0" fillId="0" borderId="170" xfId="0" applyFont="1" applyFill="1" applyBorder="1" applyProtection="1"/>
    <xf numFmtId="0" fontId="0" fillId="8" borderId="0" xfId="0" applyFont="1" applyFill="1" applyBorder="1" applyProtection="1"/>
    <xf numFmtId="0" fontId="0" fillId="0" borderId="171" xfId="0" applyFont="1" applyFill="1" applyBorder="1" applyProtection="1"/>
    <xf numFmtId="0" fontId="57" fillId="0" borderId="0" xfId="0" applyFont="1" applyFill="1" applyBorder="1" applyProtection="1"/>
    <xf numFmtId="0" fontId="22" fillId="0" borderId="0" xfId="0" applyFont="1" applyFill="1" applyBorder="1" applyAlignment="1" applyProtection="1">
      <alignment horizontal="center"/>
    </xf>
    <xf numFmtId="0" fontId="57" fillId="0" borderId="0" xfId="0" quotePrefix="1" applyFont="1" applyFill="1" applyBorder="1" applyAlignment="1" applyProtection="1">
      <alignment horizontal="center"/>
    </xf>
    <xf numFmtId="0" fontId="57" fillId="0" borderId="0" xfId="0" applyFont="1" applyFill="1" applyBorder="1" applyAlignment="1" applyProtection="1">
      <alignment horizontal="center"/>
    </xf>
    <xf numFmtId="0" fontId="56" fillId="0" borderId="170" xfId="0" applyFont="1" applyFill="1" applyBorder="1" applyProtection="1"/>
    <xf numFmtId="0" fontId="56" fillId="0" borderId="6" xfId="0" applyFont="1" applyFill="1" applyBorder="1" applyProtection="1"/>
    <xf numFmtId="0" fontId="56" fillId="0" borderId="171" xfId="0" applyFont="1" applyFill="1" applyBorder="1" applyProtection="1"/>
    <xf numFmtId="0" fontId="22" fillId="0" borderId="0" xfId="0" applyFont="1" applyFill="1" applyBorder="1" applyAlignment="1" applyProtection="1">
      <alignment wrapText="1"/>
    </xf>
    <xf numFmtId="0" fontId="22" fillId="0" borderId="171" xfId="0" applyFont="1" applyFill="1" applyBorder="1" applyAlignment="1" applyProtection="1">
      <alignment wrapText="1"/>
    </xf>
    <xf numFmtId="0" fontId="57" fillId="0" borderId="0" xfId="0" applyFont="1" applyFill="1" applyBorder="1" applyAlignment="1" applyProtection="1">
      <alignment horizontal="left"/>
    </xf>
    <xf numFmtId="0" fontId="47" fillId="0" borderId="0" xfId="0" applyFont="1" applyFill="1" applyBorder="1" applyProtection="1"/>
    <xf numFmtId="0" fontId="47" fillId="0" borderId="0" xfId="0" applyFont="1" applyFill="1" applyBorder="1" applyAlignment="1" applyProtection="1"/>
    <xf numFmtId="1" fontId="57" fillId="0" borderId="0" xfId="0" applyNumberFormat="1" applyFont="1" applyFill="1" applyBorder="1" applyAlignment="1" applyProtection="1">
      <alignment horizontal="right"/>
    </xf>
    <xf numFmtId="0" fontId="75" fillId="0" borderId="0" xfId="0" applyFont="1" applyFill="1" applyBorder="1" applyProtection="1"/>
    <xf numFmtId="44" fontId="47" fillId="0" borderId="0" xfId="0" applyNumberFormat="1" applyFont="1" applyFill="1" applyBorder="1" applyAlignment="1" applyProtection="1">
      <alignment horizontal="left"/>
    </xf>
    <xf numFmtId="44" fontId="57" fillId="0" borderId="0" xfId="0" applyNumberFormat="1" applyFont="1" applyFill="1" applyBorder="1" applyAlignment="1" applyProtection="1">
      <alignment horizontal="left"/>
    </xf>
    <xf numFmtId="169" fontId="57" fillId="0" borderId="0" xfId="0" applyNumberFormat="1" applyFont="1" applyFill="1" applyBorder="1" applyAlignment="1" applyProtection="1">
      <alignment horizontal="left"/>
    </xf>
    <xf numFmtId="0" fontId="57" fillId="0" borderId="164" xfId="0" applyFont="1" applyFill="1" applyBorder="1" applyProtection="1"/>
    <xf numFmtId="0" fontId="57" fillId="0" borderId="165" xfId="0" applyFont="1" applyFill="1" applyBorder="1" applyProtection="1"/>
    <xf numFmtId="44" fontId="47" fillId="0" borderId="165" xfId="0" applyNumberFormat="1" applyFont="1" applyFill="1" applyBorder="1" applyAlignment="1" applyProtection="1">
      <alignment horizontal="left"/>
    </xf>
    <xf numFmtId="169" fontId="57" fillId="0" borderId="165" xfId="0" applyNumberFormat="1" applyFont="1" applyFill="1" applyBorder="1" applyAlignment="1" applyProtection="1">
      <alignment horizontal="left"/>
    </xf>
    <xf numFmtId="0" fontId="57" fillId="0" borderId="45" xfId="0" applyFont="1" applyFill="1" applyBorder="1" applyProtection="1"/>
    <xf numFmtId="0" fontId="57" fillId="0" borderId="166" xfId="0" applyFont="1" applyFill="1" applyBorder="1" applyProtection="1"/>
    <xf numFmtId="0" fontId="59" fillId="0" borderId="0" xfId="0" applyFont="1" applyFill="1" applyBorder="1" applyProtection="1"/>
    <xf numFmtId="165" fontId="47" fillId="0" borderId="0" xfId="0" applyNumberFormat="1" applyFont="1" applyFill="1" applyBorder="1" applyAlignment="1" applyProtection="1">
      <alignment horizontal="right"/>
    </xf>
    <xf numFmtId="0" fontId="19" fillId="0" borderId="0" xfId="0" applyFont="1" applyFill="1" applyBorder="1" applyAlignment="1" applyProtection="1">
      <alignment horizontal="center"/>
    </xf>
    <xf numFmtId="0" fontId="22" fillId="0" borderId="165" xfId="0" applyFont="1" applyFill="1" applyBorder="1" applyAlignment="1" applyProtection="1">
      <alignment wrapText="1"/>
    </xf>
    <xf numFmtId="0" fontId="22" fillId="0" borderId="45" xfId="0" applyFont="1" applyFill="1" applyBorder="1" applyAlignment="1" applyProtection="1">
      <alignment wrapText="1"/>
    </xf>
    <xf numFmtId="0" fontId="22" fillId="0" borderId="0" xfId="0" applyFont="1" applyFill="1" applyBorder="1" applyAlignment="1" applyProtection="1">
      <alignment horizontal="left"/>
    </xf>
    <xf numFmtId="0" fontId="20" fillId="27" borderId="287" xfId="0" applyFont="1" applyFill="1" applyBorder="1" applyAlignment="1" applyProtection="1">
      <alignment horizontal="left"/>
    </xf>
    <xf numFmtId="0" fontId="57" fillId="27" borderId="452" xfId="0" applyFont="1" applyFill="1" applyBorder="1" applyProtection="1"/>
    <xf numFmtId="0" fontId="57" fillId="27" borderId="452" xfId="0" applyFont="1" applyFill="1" applyBorder="1" applyAlignment="1" applyProtection="1"/>
    <xf numFmtId="0" fontId="57" fillId="27" borderId="470" xfId="0" applyFont="1" applyFill="1" applyBorder="1" applyProtection="1"/>
    <xf numFmtId="0" fontId="19" fillId="6" borderId="147" xfId="0" applyFont="1" applyFill="1" applyBorder="1" applyAlignment="1" applyProtection="1">
      <alignment horizontal="right"/>
    </xf>
    <xf numFmtId="0" fontId="57" fillId="0" borderId="0" xfId="0" applyFont="1" applyFill="1" applyBorder="1" applyAlignment="1" applyProtection="1">
      <alignment vertical="center" wrapText="1"/>
    </xf>
    <xf numFmtId="1" fontId="57" fillId="0" borderId="0" xfId="0" applyNumberFormat="1" applyFont="1" applyFill="1" applyBorder="1" applyProtection="1"/>
    <xf numFmtId="0" fontId="76" fillId="0" borderId="0" xfId="0" applyFont="1" applyFill="1" applyBorder="1" applyAlignment="1" applyProtection="1">
      <alignment horizontal="left"/>
    </xf>
    <xf numFmtId="0" fontId="75" fillId="0" borderId="0" xfId="0" applyFont="1" applyFill="1" applyBorder="1" applyAlignment="1" applyProtection="1">
      <alignment horizontal="left"/>
    </xf>
    <xf numFmtId="0" fontId="57" fillId="0" borderId="0" xfId="0" applyFont="1" applyFill="1" applyBorder="1" applyAlignment="1" applyProtection="1">
      <alignment horizontal="left" vertical="top"/>
    </xf>
    <xf numFmtId="37" fontId="47" fillId="0" borderId="0" xfId="0" applyNumberFormat="1" applyFont="1" applyFill="1" applyBorder="1" applyAlignment="1" applyProtection="1">
      <alignment horizontal="right"/>
    </xf>
    <xf numFmtId="37" fontId="47" fillId="0" borderId="0" xfId="0" applyNumberFormat="1" applyFont="1" applyFill="1" applyBorder="1" applyAlignment="1" applyProtection="1"/>
    <xf numFmtId="0" fontId="47" fillId="0" borderId="397" xfId="0" applyFont="1" applyFill="1" applyBorder="1" applyProtection="1"/>
    <xf numFmtId="44" fontId="57" fillId="0" borderId="397" xfId="0" applyNumberFormat="1" applyFont="1" applyFill="1" applyBorder="1" applyAlignment="1" applyProtection="1">
      <alignment horizontal="left"/>
    </xf>
    <xf numFmtId="44" fontId="47" fillId="0" borderId="397" xfId="0" applyNumberFormat="1" applyFont="1" applyFill="1" applyBorder="1" applyAlignment="1" applyProtection="1">
      <alignment horizontal="left"/>
    </xf>
    <xf numFmtId="165" fontId="47" fillId="0" borderId="0" xfId="0" applyNumberFormat="1" applyFont="1" applyFill="1" applyBorder="1" applyAlignment="1" applyProtection="1"/>
    <xf numFmtId="169" fontId="47" fillId="0" borderId="0" xfId="0" applyNumberFormat="1" applyFont="1" applyFill="1" applyBorder="1" applyAlignment="1" applyProtection="1">
      <alignment horizontal="left"/>
    </xf>
    <xf numFmtId="44" fontId="57" fillId="0" borderId="165" xfId="0" applyNumberFormat="1" applyFont="1" applyFill="1" applyBorder="1" applyAlignment="1" applyProtection="1">
      <alignment horizontal="left"/>
    </xf>
    <xf numFmtId="165" fontId="47" fillId="0" borderId="165" xfId="0" applyNumberFormat="1" applyFont="1" applyFill="1" applyBorder="1" applyAlignment="1" applyProtection="1">
      <alignment horizontal="right"/>
    </xf>
    <xf numFmtId="0" fontId="57" fillId="0" borderId="397" xfId="0" applyFont="1" applyFill="1" applyBorder="1" applyProtection="1"/>
    <xf numFmtId="0" fontId="47" fillId="0" borderId="0" xfId="0" applyNumberFormat="1" applyFont="1" applyFill="1" applyBorder="1" applyAlignment="1" applyProtection="1">
      <alignment horizontal="right"/>
    </xf>
    <xf numFmtId="42" fontId="47" fillId="0" borderId="0" xfId="0" applyNumberFormat="1" applyFont="1" applyFill="1" applyBorder="1" applyAlignment="1" applyProtection="1">
      <alignment horizontal="right"/>
    </xf>
    <xf numFmtId="0" fontId="57" fillId="0" borderId="165" xfId="0" applyFont="1" applyFill="1" applyBorder="1" applyAlignment="1" applyProtection="1">
      <alignment wrapText="1"/>
    </xf>
    <xf numFmtId="0" fontId="75" fillId="0" borderId="0" xfId="0" applyFont="1" applyFill="1" applyBorder="1" applyAlignment="1" applyProtection="1">
      <alignment horizontal="left" vertical="top"/>
    </xf>
    <xf numFmtId="0" fontId="57" fillId="0" borderId="0" xfId="0" applyFont="1" applyFill="1" applyBorder="1" applyAlignment="1" applyProtection="1">
      <alignment vertical="center"/>
    </xf>
    <xf numFmtId="0" fontId="19" fillId="6" borderId="147" xfId="0" applyFont="1" applyFill="1" applyBorder="1" applyAlignment="1" applyProtection="1">
      <alignment horizontal="right" vertical="center"/>
    </xf>
    <xf numFmtId="9" fontId="7" fillId="0" borderId="263" xfId="0" applyNumberFormat="1" applyFont="1" applyFill="1" applyBorder="1" applyAlignment="1" applyProtection="1">
      <alignment vertical="center"/>
      <protection locked="0"/>
    </xf>
    <xf numFmtId="1" fontId="9" fillId="0" borderId="276" xfId="0" applyNumberFormat="1" applyFont="1" applyFill="1" applyBorder="1" applyAlignment="1" applyProtection="1">
      <protection locked="0"/>
    </xf>
    <xf numFmtId="1" fontId="9" fillId="0" borderId="480" xfId="0" applyNumberFormat="1" applyFont="1" applyFill="1" applyBorder="1" applyAlignment="1" applyProtection="1">
      <protection locked="0"/>
    </xf>
    <xf numFmtId="42" fontId="9" fillId="0" borderId="276" xfId="0" applyNumberFormat="1" applyFont="1" applyFill="1" applyBorder="1" applyAlignment="1" applyProtection="1">
      <protection locked="0"/>
    </xf>
    <xf numFmtId="9" fontId="7" fillId="0" borderId="81" xfId="0" applyNumberFormat="1" applyFont="1" applyFill="1" applyBorder="1" applyAlignment="1" applyProtection="1">
      <alignment vertical="center"/>
      <protection locked="0"/>
    </xf>
    <xf numFmtId="1" fontId="9" fillId="0" borderId="104" xfId="0" applyNumberFormat="1" applyFont="1" applyFill="1" applyBorder="1" applyAlignment="1" applyProtection="1">
      <protection locked="0"/>
    </xf>
    <xf numFmtId="42" fontId="9" fillId="0" borderId="104" xfId="0" applyNumberFormat="1" applyFont="1" applyFill="1" applyBorder="1" applyAlignment="1" applyProtection="1">
      <protection locked="0"/>
    </xf>
    <xf numFmtId="1" fontId="9" fillId="0" borderId="105" xfId="0" applyNumberFormat="1" applyFont="1" applyFill="1" applyBorder="1" applyAlignment="1" applyProtection="1">
      <protection locked="0"/>
    </xf>
    <xf numFmtId="1" fontId="9" fillId="0" borderId="211" xfId="0" applyNumberFormat="1" applyFont="1" applyFill="1" applyBorder="1" applyAlignment="1" applyProtection="1">
      <protection locked="0"/>
    </xf>
    <xf numFmtId="1" fontId="9" fillId="0" borderId="133" xfId="0" applyNumberFormat="1" applyFont="1" applyFill="1" applyBorder="1" applyAlignment="1" applyProtection="1">
      <protection locked="0"/>
    </xf>
    <xf numFmtId="1" fontId="9" fillId="0" borderId="69" xfId="0" applyNumberFormat="1" applyFont="1" applyFill="1" applyBorder="1" applyAlignment="1" applyProtection="1">
      <protection locked="0"/>
    </xf>
    <xf numFmtId="42" fontId="9" fillId="0" borderId="133" xfId="0" applyNumberFormat="1" applyFont="1" applyFill="1" applyBorder="1" applyAlignment="1" applyProtection="1">
      <protection locked="0"/>
    </xf>
    <xf numFmtId="0" fontId="3" fillId="0" borderId="30" xfId="0" applyFont="1" applyFill="1" applyBorder="1" applyAlignment="1" applyProtection="1">
      <alignment vertical="center"/>
    </xf>
    <xf numFmtId="0" fontId="3" fillId="0" borderId="30" xfId="0" applyFont="1" applyFill="1" applyBorder="1" applyProtection="1"/>
    <xf numFmtId="0" fontId="3" fillId="0" borderId="31" xfId="0" applyFont="1" applyFill="1" applyBorder="1" applyAlignment="1" applyProtection="1">
      <alignment vertical="center"/>
    </xf>
    <xf numFmtId="0" fontId="3" fillId="0" borderId="33" xfId="0" applyFont="1" applyFill="1" applyBorder="1" applyAlignment="1" applyProtection="1">
      <alignment vertical="center"/>
    </xf>
    <xf numFmtId="0" fontId="8" fillId="18" borderId="456" xfId="0" applyFont="1" applyFill="1" applyBorder="1" applyAlignment="1" applyProtection="1">
      <alignment horizontal="center" vertical="center" wrapText="1"/>
    </xf>
    <xf numFmtId="0" fontId="8" fillId="18" borderId="445" xfId="0" applyFont="1" applyFill="1" applyBorder="1" applyAlignment="1" applyProtection="1">
      <alignment horizontal="center" vertical="center" wrapText="1"/>
    </xf>
    <xf numFmtId="0" fontId="8" fillId="18" borderId="271" xfId="0" applyFont="1" applyFill="1" applyBorder="1" applyAlignment="1" applyProtection="1">
      <alignment horizontal="center" vertical="center" wrapText="1"/>
    </xf>
    <xf numFmtId="0" fontId="10" fillId="18" borderId="445" xfId="0" applyFont="1" applyFill="1" applyBorder="1" applyAlignment="1" applyProtection="1">
      <alignment horizontal="center" vertical="center" wrapText="1"/>
    </xf>
    <xf numFmtId="0" fontId="8" fillId="18" borderId="446" xfId="0" applyFont="1" applyFill="1" applyBorder="1" applyAlignment="1" applyProtection="1">
      <alignment horizontal="center" vertical="center" wrapText="1"/>
    </xf>
    <xf numFmtId="42" fontId="6" fillId="6" borderId="276" xfId="0" applyNumberFormat="1" applyFont="1" applyFill="1" applyBorder="1" applyAlignment="1" applyProtection="1">
      <alignment wrapText="1"/>
    </xf>
    <xf numFmtId="42" fontId="6" fillId="6" borderId="275" xfId="0" applyNumberFormat="1" applyFont="1" applyFill="1" applyBorder="1" applyAlignment="1" applyProtection="1">
      <alignment wrapText="1"/>
    </xf>
    <xf numFmtId="42" fontId="6" fillId="6" borderId="104" xfId="0" applyNumberFormat="1" applyFont="1" applyFill="1" applyBorder="1" applyAlignment="1" applyProtection="1">
      <alignment wrapText="1"/>
    </xf>
    <xf numFmtId="42" fontId="6" fillId="6" borderId="67" xfId="0" applyNumberFormat="1" applyFont="1" applyFill="1" applyBorder="1" applyAlignment="1" applyProtection="1">
      <alignment wrapText="1"/>
    </xf>
    <xf numFmtId="10" fontId="9" fillId="18" borderId="108" xfId="0" applyNumberFormat="1" applyFont="1" applyFill="1" applyBorder="1" applyAlignment="1" applyProtection="1">
      <alignment horizontal="center" vertical="center" wrapText="1"/>
    </xf>
    <xf numFmtId="42" fontId="9" fillId="13" borderId="105" xfId="0" applyNumberFormat="1" applyFont="1" applyFill="1" applyBorder="1" applyAlignment="1" applyProtection="1"/>
    <xf numFmtId="42" fontId="9" fillId="13" borderId="98" xfId="0" applyNumberFormat="1" applyFont="1" applyFill="1" applyBorder="1" applyAlignment="1" applyProtection="1"/>
    <xf numFmtId="42" fontId="9" fillId="13" borderId="99" xfId="0" applyNumberFormat="1" applyFont="1" applyFill="1" applyBorder="1" applyAlignment="1" applyProtection="1"/>
    <xf numFmtId="10" fontId="9" fillId="18" borderId="88" xfId="0" applyNumberFormat="1" applyFont="1" applyFill="1" applyBorder="1" applyAlignment="1" applyProtection="1">
      <alignment horizontal="center" vertical="center" wrapText="1"/>
    </xf>
    <xf numFmtId="42" fontId="6" fillId="6" borderId="133" xfId="0" applyNumberFormat="1" applyFont="1" applyFill="1" applyBorder="1" applyAlignment="1" applyProtection="1">
      <alignment wrapText="1"/>
    </xf>
    <xf numFmtId="42" fontId="6" fillId="6" borderId="146" xfId="0" applyNumberFormat="1" applyFont="1" applyFill="1" applyBorder="1" applyAlignment="1" applyProtection="1">
      <alignment wrapText="1"/>
    </xf>
    <xf numFmtId="0" fontId="6" fillId="0" borderId="11" xfId="0" applyFont="1" applyFill="1" applyBorder="1" applyAlignment="1" applyProtection="1">
      <alignment horizontal="center" vertical="center" wrapText="1"/>
    </xf>
    <xf numFmtId="37" fontId="6" fillId="0" borderId="26" xfId="0" applyNumberFormat="1" applyFont="1" applyFill="1" applyBorder="1" applyAlignment="1" applyProtection="1">
      <alignment wrapText="1"/>
    </xf>
    <xf numFmtId="42" fontId="6" fillId="26" borderId="117" xfId="0" applyNumberFormat="1" applyFont="1" applyFill="1" applyBorder="1" applyAlignment="1" applyProtection="1">
      <alignment vertical="center"/>
    </xf>
    <xf numFmtId="42" fontId="6" fillId="26" borderId="461" xfId="0" applyNumberFormat="1" applyFont="1" applyFill="1" applyBorder="1" applyAlignment="1" applyProtection="1">
      <alignment vertical="center"/>
    </xf>
    <xf numFmtId="42" fontId="6" fillId="26" borderId="251" xfId="0" applyNumberFormat="1" applyFont="1" applyFill="1" applyBorder="1" applyAlignment="1" applyProtection="1">
      <alignment vertical="center"/>
    </xf>
    <xf numFmtId="42" fontId="6" fillId="26" borderId="127" xfId="0" applyNumberFormat="1" applyFont="1" applyFill="1" applyBorder="1" applyAlignment="1" applyProtection="1">
      <alignment vertical="center"/>
    </xf>
    <xf numFmtId="42" fontId="6" fillId="6" borderId="251" xfId="0" applyNumberFormat="1" applyFont="1" applyFill="1" applyBorder="1" applyAlignment="1" applyProtection="1">
      <alignment wrapText="1"/>
    </xf>
    <xf numFmtId="42" fontId="6" fillId="6" borderId="256" xfId="0" applyNumberFormat="1" applyFont="1" applyFill="1" applyBorder="1" applyAlignment="1" applyProtection="1">
      <alignment wrapText="1"/>
    </xf>
    <xf numFmtId="42" fontId="6" fillId="6" borderId="147" xfId="0" applyNumberFormat="1" applyFont="1" applyFill="1" applyBorder="1" applyAlignment="1" applyProtection="1">
      <alignment wrapText="1"/>
    </xf>
    <xf numFmtId="0" fontId="6" fillId="0" borderId="0" xfId="0" applyFont="1" applyFill="1" applyBorder="1" applyAlignment="1" applyProtection="1">
      <alignment horizontal="center" vertical="center" wrapText="1"/>
    </xf>
    <xf numFmtId="37" fontId="6" fillId="0" borderId="0" xfId="0" applyNumberFormat="1" applyFont="1" applyFill="1" applyBorder="1" applyAlignment="1" applyProtection="1">
      <alignment wrapText="1"/>
    </xf>
    <xf numFmtId="42" fontId="6" fillId="0" borderId="0" xfId="0" applyNumberFormat="1" applyFont="1" applyFill="1" applyBorder="1" applyAlignment="1" applyProtection="1">
      <alignment vertical="center"/>
    </xf>
    <xf numFmtId="42" fontId="6" fillId="0" borderId="0" xfId="0" applyNumberFormat="1" applyFont="1" applyFill="1" applyBorder="1" applyAlignment="1" applyProtection="1">
      <alignment wrapText="1"/>
    </xf>
    <xf numFmtId="42" fontId="24" fillId="0" borderId="0" xfId="0" applyNumberFormat="1" applyFont="1" applyFill="1" applyBorder="1" applyAlignment="1" applyProtection="1">
      <alignment horizontal="right"/>
    </xf>
    <xf numFmtId="0" fontId="3" fillId="0" borderId="35" xfId="0" applyFont="1" applyFill="1" applyBorder="1" applyProtection="1"/>
    <xf numFmtId="0" fontId="24" fillId="0" borderId="35" xfId="0" applyFont="1" applyFill="1" applyBorder="1" applyAlignment="1" applyProtection="1">
      <alignment horizontal="right" vertical="center"/>
    </xf>
    <xf numFmtId="9" fontId="42" fillId="0" borderId="81" xfId="0" applyNumberFormat="1" applyFont="1" applyFill="1" applyBorder="1" applyAlignment="1" applyProtection="1">
      <alignment horizontal="center" vertical="center" wrapText="1"/>
    </xf>
    <xf numFmtId="0" fontId="17" fillId="0" borderId="110" xfId="0" applyFont="1" applyFill="1" applyBorder="1" applyAlignment="1" applyProtection="1">
      <alignment horizontal="center"/>
      <protection locked="0"/>
    </xf>
    <xf numFmtId="0" fontId="18" fillId="0" borderId="110" xfId="0" applyFont="1" applyFill="1" applyBorder="1" applyAlignment="1" applyProtection="1">
      <alignment horizontal="center"/>
      <protection locked="0"/>
    </xf>
    <xf numFmtId="0" fontId="18" fillId="0" borderId="66" xfId="0" applyFont="1" applyFill="1" applyBorder="1" applyAlignment="1" applyProtection="1">
      <alignment horizontal="center"/>
      <protection locked="0"/>
    </xf>
    <xf numFmtId="0" fontId="0" fillId="18" borderId="241" xfId="0" applyFont="1" applyFill="1" applyBorder="1" applyProtection="1"/>
    <xf numFmtId="0" fontId="0" fillId="0" borderId="106" xfId="0" applyFont="1" applyFill="1" applyBorder="1" applyAlignment="1" applyProtection="1">
      <alignment horizontal="center"/>
      <protection locked="0"/>
    </xf>
    <xf numFmtId="0" fontId="0" fillId="0" borderId="104" xfId="0" applyFont="1" applyFill="1" applyBorder="1" applyAlignment="1" applyProtection="1">
      <alignment horizontal="center"/>
      <protection locked="0"/>
    </xf>
    <xf numFmtId="0" fontId="18" fillId="0" borderId="104" xfId="0" applyFont="1" applyFill="1" applyBorder="1" applyAlignment="1" applyProtection="1">
      <alignment horizontal="center"/>
      <protection locked="0"/>
    </xf>
    <xf numFmtId="0" fontId="0" fillId="6" borderId="549" xfId="0" applyFont="1" applyFill="1" applyBorder="1" applyAlignment="1" applyProtection="1">
      <alignment horizontal="center"/>
    </xf>
    <xf numFmtId="0" fontId="0" fillId="0" borderId="105" xfId="0" applyFont="1" applyFill="1" applyBorder="1" applyAlignment="1" applyProtection="1">
      <alignment horizontal="center"/>
      <protection locked="0"/>
    </xf>
    <xf numFmtId="0" fontId="2" fillId="6" borderId="483" xfId="0" applyFont="1" applyFill="1" applyBorder="1" applyProtection="1"/>
    <xf numFmtId="0" fontId="18" fillId="6" borderId="279" xfId="0" applyFont="1" applyFill="1" applyBorder="1" applyAlignment="1" applyProtection="1">
      <alignment horizontal="center"/>
    </xf>
    <xf numFmtId="0" fontId="18" fillId="6" borderId="120" xfId="0" applyFont="1" applyFill="1" applyBorder="1" applyAlignment="1" applyProtection="1">
      <alignment horizontal="center"/>
    </xf>
    <xf numFmtId="0" fontId="18" fillId="6" borderId="219" xfId="0" applyFont="1" applyFill="1" applyBorder="1" applyAlignment="1" applyProtection="1">
      <alignment horizontal="center"/>
    </xf>
    <xf numFmtId="0" fontId="18" fillId="6" borderId="550" xfId="0" applyFont="1" applyFill="1" applyBorder="1" applyAlignment="1" applyProtection="1">
      <alignment horizontal="center"/>
    </xf>
    <xf numFmtId="0" fontId="22" fillId="23" borderId="462" xfId="0" applyFont="1" applyFill="1" applyBorder="1" applyAlignment="1" applyProtection="1">
      <alignment horizontal="center"/>
    </xf>
    <xf numFmtId="0" fontId="22" fillId="6" borderId="147" xfId="0" applyFont="1" applyFill="1" applyBorder="1" applyAlignment="1" applyProtection="1">
      <alignment horizontal="center"/>
    </xf>
    <xf numFmtId="0" fontId="43" fillId="0" borderId="105" xfId="0" applyFont="1" applyFill="1" applyBorder="1" applyAlignment="1" applyProtection="1">
      <protection locked="0"/>
    </xf>
    <xf numFmtId="0" fontId="44" fillId="0" borderId="75" xfId="0" applyFont="1" applyFill="1" applyBorder="1" applyAlignment="1" applyProtection="1">
      <alignment horizontal="center"/>
      <protection locked="0"/>
    </xf>
    <xf numFmtId="0" fontId="3" fillId="0" borderId="75" xfId="0" applyFont="1" applyFill="1" applyBorder="1" applyAlignment="1" applyProtection="1">
      <alignment horizontal="center"/>
      <protection locked="0"/>
    </xf>
    <xf numFmtId="0" fontId="3" fillId="0" borderId="87" xfId="0" applyFont="1" applyFill="1" applyBorder="1" applyAlignment="1" applyProtection="1">
      <alignment horizontal="center"/>
      <protection locked="0"/>
    </xf>
    <xf numFmtId="0" fontId="17" fillId="0" borderId="198" xfId="0" applyFont="1" applyFill="1" applyBorder="1" applyAlignment="1" applyProtection="1">
      <alignment horizontal="center"/>
    </xf>
    <xf numFmtId="0" fontId="0" fillId="7" borderId="7" xfId="0" applyFont="1" applyFill="1" applyBorder="1" applyAlignment="1" applyProtection="1"/>
    <xf numFmtId="0" fontId="0" fillId="7" borderId="251" xfId="0" applyFont="1" applyFill="1" applyBorder="1" applyAlignment="1" applyProtection="1"/>
    <xf numFmtId="0" fontId="0" fillId="30" borderId="271" xfId="0" applyFont="1" applyFill="1" applyBorder="1" applyAlignment="1" applyProtection="1"/>
    <xf numFmtId="0" fontId="18" fillId="18" borderId="257" xfId="0" applyFont="1" applyFill="1" applyBorder="1" applyAlignment="1" applyProtection="1">
      <alignment horizontal="center"/>
    </xf>
    <xf numFmtId="0" fontId="0" fillId="30" borderId="129" xfId="0" applyFont="1" applyFill="1" applyBorder="1" applyAlignment="1" applyProtection="1">
      <alignment horizontal="center"/>
    </xf>
    <xf numFmtId="0" fontId="0" fillId="0" borderId="430" xfId="0" applyFont="1" applyFill="1" applyBorder="1" applyAlignment="1" applyProtection="1">
      <alignment horizontal="center"/>
    </xf>
    <xf numFmtId="0" fontId="0" fillId="0" borderId="431" xfId="0" applyFont="1" applyFill="1" applyBorder="1" applyAlignment="1" applyProtection="1">
      <alignment horizontal="center"/>
    </xf>
    <xf numFmtId="3" fontId="18" fillId="29" borderId="12" xfId="0" applyNumberFormat="1" applyFont="1" applyFill="1" applyBorder="1" applyAlignment="1" applyProtection="1">
      <alignment vertical="center" wrapText="1"/>
    </xf>
    <xf numFmtId="3" fontId="22" fillId="6" borderId="12" xfId="0" applyNumberFormat="1" applyFont="1" applyFill="1" applyBorder="1" applyAlignment="1" applyProtection="1">
      <alignment vertical="center"/>
    </xf>
    <xf numFmtId="3" fontId="22" fillId="6" borderId="461" xfId="0" applyNumberFormat="1" applyFont="1" applyFill="1" applyBorder="1" applyAlignment="1" applyProtection="1">
      <alignment vertical="center"/>
    </xf>
    <xf numFmtId="3" fontId="22" fillId="30" borderId="16" xfId="0" applyNumberFormat="1" applyFont="1" applyFill="1" applyBorder="1" applyAlignment="1" applyProtection="1">
      <alignment vertical="center"/>
    </xf>
    <xf numFmtId="3" fontId="18" fillId="29" borderId="461" xfId="0" applyNumberFormat="1" applyFont="1" applyFill="1" applyBorder="1" applyAlignment="1" applyProtection="1">
      <alignment vertical="center" wrapText="1"/>
    </xf>
    <xf numFmtId="0" fontId="19" fillId="18" borderId="427" xfId="0" applyFont="1" applyFill="1" applyBorder="1" applyAlignment="1" applyProtection="1">
      <alignment horizontal="center" wrapText="1"/>
    </xf>
    <xf numFmtId="0" fontId="17" fillId="30" borderId="129" xfId="0" applyFont="1" applyFill="1" applyBorder="1" applyAlignment="1" applyProtection="1">
      <alignment horizontal="center" vertical="center" wrapText="1"/>
    </xf>
    <xf numFmtId="3" fontId="19" fillId="0" borderId="553" xfId="0" applyNumberFormat="1" applyFont="1" applyFill="1" applyBorder="1" applyAlignment="1" applyProtection="1">
      <alignment vertical="center"/>
      <protection locked="0"/>
    </xf>
    <xf numFmtId="3" fontId="19" fillId="0" borderId="142" xfId="0" applyNumberFormat="1" applyFont="1" applyFill="1" applyBorder="1" applyAlignment="1" applyProtection="1">
      <alignment vertical="center"/>
      <protection locked="0"/>
    </xf>
    <xf numFmtId="3" fontId="17" fillId="30" borderId="129" xfId="0" applyNumberFormat="1" applyFont="1" applyFill="1" applyBorder="1" applyAlignment="1" applyProtection="1">
      <alignment vertical="center"/>
    </xf>
    <xf numFmtId="3" fontId="17" fillId="0" borderId="143" xfId="0" applyNumberFormat="1" applyFont="1" applyFill="1" applyBorder="1" applyAlignment="1" applyProtection="1">
      <alignment vertical="center"/>
      <protection locked="0"/>
    </xf>
    <xf numFmtId="3" fontId="17" fillId="0" borderId="132" xfId="0" applyNumberFormat="1" applyFont="1" applyFill="1" applyBorder="1" applyAlignment="1" applyProtection="1">
      <alignment vertical="center"/>
      <protection locked="0"/>
    </xf>
    <xf numFmtId="3" fontId="17" fillId="0" borderId="86" xfId="0" applyNumberFormat="1" applyFont="1" applyFill="1" applyBorder="1" applyAlignment="1" applyProtection="1">
      <alignment vertical="center" wrapText="1"/>
      <protection locked="0"/>
    </xf>
    <xf numFmtId="3" fontId="17" fillId="0" borderId="110" xfId="0" applyNumberFormat="1" applyFont="1" applyFill="1" applyBorder="1" applyAlignment="1" applyProtection="1">
      <alignment vertical="center" wrapText="1"/>
      <protection locked="0"/>
    </xf>
    <xf numFmtId="3" fontId="17" fillId="0" borderId="66" xfId="0" applyNumberFormat="1" applyFont="1" applyFill="1" applyBorder="1" applyAlignment="1" applyProtection="1">
      <alignment vertical="center" wrapText="1"/>
      <protection locked="0"/>
    </xf>
    <xf numFmtId="3" fontId="17" fillId="30" borderId="129" xfId="0" applyNumberFormat="1" applyFont="1" applyFill="1" applyBorder="1" applyAlignment="1" applyProtection="1">
      <alignment vertical="center" wrapText="1"/>
    </xf>
    <xf numFmtId="3" fontId="17" fillId="0" borderId="82" xfId="0" applyNumberFormat="1" applyFont="1" applyFill="1" applyBorder="1" applyAlignment="1" applyProtection="1">
      <alignment vertical="center"/>
      <protection locked="0"/>
    </xf>
    <xf numFmtId="3" fontId="17" fillId="0" borderId="104" xfId="0" applyNumberFormat="1" applyFont="1" applyFill="1" applyBorder="1" applyAlignment="1" applyProtection="1">
      <alignment vertical="center"/>
      <protection locked="0"/>
    </xf>
    <xf numFmtId="3" fontId="17" fillId="0" borderId="86" xfId="0" applyNumberFormat="1" applyFont="1" applyFill="1" applyBorder="1" applyAlignment="1" applyProtection="1">
      <alignment vertical="center"/>
      <protection locked="0"/>
    </xf>
    <xf numFmtId="3" fontId="17" fillId="0" borderId="110" xfId="0" applyNumberFormat="1" applyFont="1" applyFill="1" applyBorder="1" applyAlignment="1" applyProtection="1">
      <alignment vertical="center"/>
      <protection locked="0"/>
    </xf>
    <xf numFmtId="3" fontId="17" fillId="0" borderId="66" xfId="0" applyNumberFormat="1" applyFont="1" applyFill="1" applyBorder="1" applyAlignment="1" applyProtection="1">
      <alignment vertical="center"/>
      <protection locked="0"/>
    </xf>
    <xf numFmtId="3" fontId="17" fillId="0" borderId="552" xfId="0" applyNumberFormat="1" applyFont="1" applyFill="1" applyBorder="1" applyAlignment="1" applyProtection="1">
      <alignment vertical="center" wrapText="1"/>
      <protection locked="0"/>
    </xf>
    <xf numFmtId="3" fontId="17" fillId="0" borderId="554" xfId="0" applyNumberFormat="1" applyFont="1" applyFill="1" applyBorder="1" applyAlignment="1" applyProtection="1">
      <alignment vertical="center" wrapText="1"/>
      <protection locked="0"/>
    </xf>
    <xf numFmtId="3" fontId="17" fillId="0" borderId="161" xfId="0" applyNumberFormat="1" applyFont="1" applyFill="1" applyBorder="1" applyAlignment="1" applyProtection="1">
      <alignment vertical="center" wrapText="1"/>
      <protection locked="0"/>
    </xf>
    <xf numFmtId="3" fontId="17" fillId="0" borderId="429" xfId="0" applyNumberFormat="1" applyFont="1" applyFill="1" applyBorder="1" applyAlignment="1" applyProtection="1">
      <alignment vertical="center"/>
      <protection locked="0"/>
    </xf>
    <xf numFmtId="3" fontId="17" fillId="0" borderId="211" xfId="0" applyNumberFormat="1" applyFont="1" applyFill="1" applyBorder="1" applyAlignment="1" applyProtection="1">
      <alignment vertical="center"/>
      <protection locked="0"/>
    </xf>
    <xf numFmtId="3" fontId="17" fillId="6" borderId="285" xfId="0" applyNumberFormat="1" applyFont="1" applyFill="1" applyBorder="1" applyAlignment="1" applyProtection="1">
      <alignment vertical="center"/>
    </xf>
    <xf numFmtId="3" fontId="17" fillId="6" borderId="163" xfId="0" applyNumberFormat="1" applyFont="1" applyFill="1" applyBorder="1" applyAlignment="1" applyProtection="1">
      <alignment vertical="center"/>
    </xf>
    <xf numFmtId="3" fontId="17" fillId="6" borderId="131" xfId="0" applyNumberFormat="1" applyFont="1" applyFill="1" applyBorder="1" applyAlignment="1" applyProtection="1">
      <alignment vertical="center"/>
    </xf>
    <xf numFmtId="3" fontId="22" fillId="6" borderId="485" xfId="0" applyNumberFormat="1" applyFont="1" applyFill="1" applyBorder="1" applyAlignment="1" applyProtection="1">
      <alignment vertical="center"/>
    </xf>
    <xf numFmtId="0" fontId="2" fillId="7" borderId="178" xfId="0" applyFont="1" applyFill="1" applyBorder="1" applyAlignment="1" applyProtection="1"/>
    <xf numFmtId="3" fontId="19" fillId="0" borderId="132" xfId="0" applyNumberFormat="1" applyFont="1" applyFill="1" applyBorder="1" applyAlignment="1" applyProtection="1">
      <alignment vertical="center"/>
      <protection locked="0"/>
    </xf>
    <xf numFmtId="3" fontId="17" fillId="0" borderId="104" xfId="0" applyNumberFormat="1" applyFont="1" applyFill="1" applyBorder="1" applyAlignment="1" applyProtection="1">
      <alignment vertical="center" wrapText="1"/>
      <protection locked="0"/>
    </xf>
    <xf numFmtId="3" fontId="17" fillId="0" borderId="211" xfId="0" applyNumberFormat="1" applyFont="1" applyFill="1" applyBorder="1" applyAlignment="1" applyProtection="1">
      <alignment vertical="center" wrapText="1"/>
      <protection locked="0"/>
    </xf>
    <xf numFmtId="3" fontId="17" fillId="6" borderId="555" xfId="0" applyNumberFormat="1" applyFont="1" applyFill="1" applyBorder="1" applyAlignment="1" applyProtection="1">
      <alignment vertical="center"/>
    </xf>
    <xf numFmtId="3" fontId="17" fillId="6" borderId="122" xfId="0" applyNumberFormat="1" applyFont="1" applyFill="1" applyBorder="1" applyAlignment="1" applyProtection="1">
      <alignment vertical="center" wrapText="1"/>
    </xf>
    <xf numFmtId="3" fontId="17" fillId="6" borderId="556" xfId="0" applyNumberFormat="1" applyFont="1" applyFill="1" applyBorder="1" applyAlignment="1" applyProtection="1">
      <alignment vertical="center" wrapText="1"/>
    </xf>
    <xf numFmtId="3" fontId="22" fillId="6" borderId="16" xfId="0" applyNumberFormat="1" applyFont="1" applyFill="1" applyBorder="1" applyAlignment="1" applyProtection="1">
      <alignment vertical="center"/>
    </xf>
    <xf numFmtId="0" fontId="22" fillId="18" borderId="79" xfId="0" applyFont="1" applyFill="1" applyBorder="1" applyAlignment="1" applyProtection="1">
      <alignment horizontal="center" wrapText="1"/>
    </xf>
    <xf numFmtId="0" fontId="22" fillId="18" borderId="478" xfId="0" applyFont="1" applyFill="1" applyBorder="1" applyAlignment="1" applyProtection="1">
      <alignment horizontal="left" wrapText="1"/>
    </xf>
    <xf numFmtId="0" fontId="22" fillId="18" borderId="478" xfId="0" applyFont="1" applyFill="1" applyBorder="1" applyAlignment="1" applyProtection="1">
      <alignment horizontal="center" wrapText="1"/>
    </xf>
    <xf numFmtId="0" fontId="42" fillId="18" borderId="478" xfId="0" applyFont="1" applyFill="1" applyBorder="1" applyProtection="1"/>
    <xf numFmtId="0" fontId="2" fillId="18" borderId="80" xfId="0" applyFont="1" applyFill="1" applyBorder="1" applyAlignment="1" applyProtection="1">
      <alignment horizontal="left"/>
    </xf>
    <xf numFmtId="0" fontId="58" fillId="0" borderId="477" xfId="0" applyFont="1" applyFill="1" applyBorder="1" applyAlignment="1" applyProtection="1">
      <alignment horizontal="center"/>
      <protection locked="0"/>
    </xf>
    <xf numFmtId="42" fontId="58" fillId="0" borderId="65" xfId="0" applyNumberFormat="1" applyFont="1" applyFill="1" applyBorder="1" applyProtection="1">
      <protection locked="0"/>
    </xf>
    <xf numFmtId="42" fontId="58" fillId="0" borderId="158" xfId="0" applyNumberFormat="1" applyFont="1" applyFill="1" applyBorder="1" applyProtection="1">
      <protection locked="0"/>
    </xf>
    <xf numFmtId="42" fontId="58" fillId="0" borderId="67" xfId="0" applyNumberFormat="1" applyFont="1" applyFill="1" applyBorder="1" applyProtection="1">
      <protection locked="0"/>
    </xf>
    <xf numFmtId="42" fontId="58" fillId="0" borderId="137" xfId="0" applyNumberFormat="1" applyFont="1" applyFill="1" applyBorder="1" applyProtection="1">
      <protection locked="0"/>
    </xf>
    <xf numFmtId="6" fontId="58" fillId="0" borderId="477" xfId="0" applyNumberFormat="1" applyFont="1" applyFill="1" applyBorder="1" applyAlignment="1" applyProtection="1">
      <alignment horizontal="center"/>
      <protection locked="0"/>
    </xf>
    <xf numFmtId="44" fontId="18" fillId="6" borderId="290" xfId="0" applyNumberFormat="1" applyFont="1" applyFill="1" applyBorder="1" applyProtection="1"/>
    <xf numFmtId="0" fontId="18" fillId="0" borderId="291" xfId="0" applyFont="1" applyFill="1" applyBorder="1" applyProtection="1">
      <protection locked="0"/>
    </xf>
    <xf numFmtId="44" fontId="18" fillId="6" borderId="209" xfId="0" applyNumberFormat="1" applyFont="1" applyFill="1" applyBorder="1" applyProtection="1"/>
    <xf numFmtId="0" fontId="18" fillId="0" borderId="206" xfId="0" applyFont="1" applyFill="1" applyBorder="1" applyProtection="1">
      <protection locked="0"/>
    </xf>
    <xf numFmtId="44" fontId="18" fillId="6" borderId="276" xfId="0" applyNumberFormat="1" applyFont="1" applyFill="1" applyBorder="1" applyProtection="1"/>
    <xf numFmtId="0" fontId="18" fillId="0" borderId="279" xfId="0" applyFont="1" applyFill="1" applyBorder="1" applyProtection="1">
      <protection locked="0"/>
    </xf>
    <xf numFmtId="44" fontId="18" fillId="6" borderId="106" xfId="0" applyNumberFormat="1" applyFont="1" applyFill="1" applyBorder="1" applyProtection="1"/>
    <xf numFmtId="0" fontId="18" fillId="0" borderId="120" xfId="0" applyFont="1" applyFill="1" applyBorder="1" applyProtection="1">
      <protection locked="0"/>
    </xf>
    <xf numFmtId="44" fontId="18" fillId="6" borderId="124" xfId="0" applyNumberFormat="1" applyFont="1" applyFill="1" applyBorder="1" applyProtection="1"/>
    <xf numFmtId="0" fontId="18" fillId="0" borderId="149" xfId="0" applyFont="1" applyFill="1" applyBorder="1" applyProtection="1">
      <protection locked="0"/>
    </xf>
    <xf numFmtId="44" fontId="18" fillId="6" borderId="114" xfId="0" applyNumberFormat="1" applyFont="1" applyFill="1" applyBorder="1" applyProtection="1"/>
    <xf numFmtId="0" fontId="18" fillId="0" borderId="22" xfId="0" applyFont="1" applyFill="1" applyBorder="1" applyProtection="1">
      <protection locked="0"/>
    </xf>
    <xf numFmtId="0" fontId="18" fillId="0" borderId="219" xfId="0" applyFont="1" applyFill="1" applyBorder="1" applyProtection="1">
      <protection locked="0"/>
    </xf>
    <xf numFmtId="44" fontId="18" fillId="0" borderId="127" xfId="0" applyNumberFormat="1" applyFont="1" applyFill="1" applyBorder="1" applyProtection="1"/>
    <xf numFmtId="44" fontId="18" fillId="6" borderId="92" xfId="0" applyNumberFormat="1" applyFont="1" applyFill="1" applyBorder="1" applyProtection="1"/>
    <xf numFmtId="0" fontId="17" fillId="6" borderId="255" xfId="0" applyFont="1" applyFill="1" applyBorder="1" applyProtection="1"/>
    <xf numFmtId="0" fontId="17" fillId="6" borderId="287" xfId="0" applyFont="1" applyFill="1" applyBorder="1" applyAlignment="1" applyProtection="1">
      <alignment horizontal="center"/>
    </xf>
    <xf numFmtId="0" fontId="17" fillId="6" borderId="256" xfId="0" applyFont="1" applyFill="1" applyBorder="1" applyAlignment="1" applyProtection="1">
      <alignment horizontal="center"/>
    </xf>
    <xf numFmtId="0" fontId="18" fillId="0" borderId="273" xfId="0" applyFont="1" applyFill="1" applyBorder="1" applyProtection="1">
      <protection locked="0"/>
    </xf>
    <xf numFmtId="0" fontId="18" fillId="0" borderId="274" xfId="0" applyFont="1" applyFill="1" applyBorder="1" applyProtection="1">
      <protection locked="0"/>
    </xf>
    <xf numFmtId="0" fontId="18" fillId="0" borderId="65" xfId="0" applyFont="1" applyFill="1" applyBorder="1" applyProtection="1">
      <protection locked="0"/>
    </xf>
    <xf numFmtId="0" fontId="18" fillId="0" borderId="66" xfId="0" applyFont="1" applyFill="1" applyBorder="1" applyProtection="1">
      <protection locked="0"/>
    </xf>
    <xf numFmtId="0" fontId="18" fillId="0" borderId="158" xfId="0" applyFont="1" applyFill="1" applyBorder="1" applyProtection="1">
      <protection locked="0"/>
    </xf>
    <xf numFmtId="0" fontId="18" fillId="0" borderId="157" xfId="0" applyFont="1" applyFill="1" applyBorder="1" applyProtection="1">
      <protection locked="0"/>
    </xf>
    <xf numFmtId="0" fontId="18" fillId="0" borderId="108" xfId="0" applyFont="1" applyFill="1" applyBorder="1" applyProtection="1">
      <protection locked="0"/>
    </xf>
    <xf numFmtId="0" fontId="18" fillId="0" borderId="75" xfId="0" applyFont="1" applyFill="1" applyBorder="1" applyProtection="1">
      <protection locked="0"/>
    </xf>
    <xf numFmtId="0" fontId="18" fillId="0" borderId="176" xfId="0" applyFont="1" applyFill="1" applyBorder="1" applyProtection="1">
      <protection locked="0"/>
    </xf>
    <xf numFmtId="0" fontId="18" fillId="0" borderId="181" xfId="0" applyFont="1" applyFill="1" applyBorder="1" applyProtection="1">
      <protection locked="0"/>
    </xf>
    <xf numFmtId="0" fontId="18" fillId="0" borderId="292" xfId="0" applyFont="1" applyFill="1" applyBorder="1" applyProtection="1">
      <protection locked="0"/>
    </xf>
    <xf numFmtId="0" fontId="18" fillId="0" borderId="288" xfId="0" applyFont="1" applyFill="1" applyBorder="1" applyProtection="1">
      <protection locked="0"/>
    </xf>
    <xf numFmtId="0" fontId="25" fillId="0" borderId="0" xfId="0" applyFont="1" applyFill="1" applyBorder="1" applyProtection="1"/>
    <xf numFmtId="42" fontId="22" fillId="18" borderId="287" xfId="0" applyNumberFormat="1" applyFont="1" applyFill="1" applyBorder="1" applyAlignment="1" applyProtection="1">
      <alignment vertical="center"/>
    </xf>
    <xf numFmtId="0" fontId="23" fillId="18" borderId="0" xfId="0" applyFont="1" applyFill="1" applyBorder="1" applyAlignment="1" applyProtection="1"/>
    <xf numFmtId="0" fontId="3" fillId="18" borderId="0" xfId="0" applyFont="1" applyFill="1" applyBorder="1" applyAlignment="1" applyProtection="1"/>
    <xf numFmtId="17" fontId="43" fillId="0" borderId="23" xfId="0" applyNumberFormat="1" applyFont="1" applyFill="1" applyBorder="1" applyAlignment="1" applyProtection="1">
      <alignment horizontal="center"/>
      <protection locked="0"/>
    </xf>
    <xf numFmtId="17" fontId="43" fillId="0" borderId="16" xfId="0" applyNumberFormat="1" applyFont="1" applyFill="1" applyBorder="1" applyAlignment="1" applyProtection="1">
      <alignment horizontal="center"/>
      <protection locked="0"/>
    </xf>
    <xf numFmtId="17" fontId="43" fillId="0" borderId="22" xfId="0" applyNumberFormat="1" applyFont="1" applyFill="1" applyBorder="1" applyAlignment="1" applyProtection="1">
      <alignment horizontal="center"/>
      <protection locked="0"/>
    </xf>
    <xf numFmtId="0" fontId="22" fillId="18" borderId="11" xfId="0" applyFont="1" applyFill="1" applyBorder="1" applyAlignment="1" applyProtection="1">
      <alignment horizontal="center" wrapText="1"/>
    </xf>
    <xf numFmtId="166" fontId="46" fillId="18" borderId="258" xfId="0" applyNumberFormat="1" applyFont="1" applyFill="1" applyBorder="1" applyAlignment="1" applyProtection="1">
      <alignment horizontal="center" vertical="center" wrapText="1"/>
    </xf>
    <xf numFmtId="3" fontId="20" fillId="18" borderId="428" xfId="0" applyNumberFormat="1" applyFont="1" applyFill="1" applyBorder="1" applyAlignment="1" applyProtection="1"/>
    <xf numFmtId="0" fontId="0" fillId="18" borderId="470" xfId="0" applyFont="1" applyFill="1" applyBorder="1" applyProtection="1"/>
    <xf numFmtId="0" fontId="43" fillId="18" borderId="0" xfId="0" applyFont="1" applyFill="1" applyBorder="1" applyAlignment="1" applyProtection="1">
      <alignment vertical="center"/>
    </xf>
    <xf numFmtId="165" fontId="18" fillId="0" borderId="356" xfId="0" applyNumberFormat="1" applyFont="1" applyFill="1" applyBorder="1" applyProtection="1">
      <protection locked="0"/>
    </xf>
    <xf numFmtId="165" fontId="18" fillId="0" borderId="357" xfId="0" applyNumberFormat="1" applyFont="1" applyFill="1" applyBorder="1" applyProtection="1">
      <protection locked="0"/>
    </xf>
    <xf numFmtId="165" fontId="18" fillId="0" borderId="358" xfId="0" applyNumberFormat="1" applyFont="1" applyFill="1" applyBorder="1" applyProtection="1">
      <protection locked="0"/>
    </xf>
    <xf numFmtId="5" fontId="43" fillId="0" borderId="37" xfId="0" applyNumberFormat="1" applyFont="1" applyFill="1" applyBorder="1" applyAlignment="1" applyProtection="1">
      <alignment horizontal="right" vertical="center"/>
      <protection locked="0"/>
    </xf>
    <xf numFmtId="5" fontId="43" fillId="0" borderId="323" xfId="0" applyNumberFormat="1" applyFont="1" applyFill="1" applyBorder="1" applyAlignment="1" applyProtection="1">
      <alignment horizontal="right" vertical="center"/>
      <protection locked="0"/>
    </xf>
    <xf numFmtId="5" fontId="43" fillId="0" borderId="321" xfId="0" applyNumberFormat="1" applyFont="1" applyFill="1" applyBorder="1" applyAlignment="1" applyProtection="1">
      <alignment vertical="center"/>
      <protection locked="0"/>
    </xf>
    <xf numFmtId="5" fontId="43" fillId="0" borderId="322" xfId="0" applyNumberFormat="1" applyFont="1" applyFill="1" applyBorder="1" applyAlignment="1" applyProtection="1">
      <alignment vertical="center"/>
      <protection locked="0"/>
    </xf>
    <xf numFmtId="5" fontId="43" fillId="0" borderId="329" xfId="0" applyNumberFormat="1" applyFont="1" applyFill="1" applyBorder="1" applyAlignment="1" applyProtection="1">
      <alignment vertical="center"/>
      <protection locked="0"/>
    </xf>
    <xf numFmtId="5" fontId="43" fillId="0" borderId="318" xfId="0" applyNumberFormat="1" applyFont="1" applyFill="1" applyBorder="1" applyAlignment="1" applyProtection="1">
      <alignment vertical="center"/>
      <protection locked="0"/>
    </xf>
    <xf numFmtId="5" fontId="43" fillId="0" borderId="319" xfId="0" applyNumberFormat="1" applyFont="1" applyFill="1" applyBorder="1" applyAlignment="1" applyProtection="1">
      <alignment vertical="center"/>
      <protection locked="0"/>
    </xf>
    <xf numFmtId="165" fontId="18" fillId="0" borderId="359" xfId="0" applyNumberFormat="1" applyFont="1" applyFill="1" applyBorder="1" applyProtection="1">
      <protection locked="0"/>
    </xf>
    <xf numFmtId="165" fontId="43" fillId="0" borderId="360" xfId="0" applyNumberFormat="1" applyFont="1" applyFill="1" applyBorder="1" applyAlignment="1" applyProtection="1">
      <alignment vertical="center"/>
      <protection locked="0"/>
    </xf>
    <xf numFmtId="165" fontId="43" fillId="0" borderId="5" xfId="0" applyNumberFormat="1" applyFont="1" applyFill="1" applyBorder="1" applyAlignment="1" applyProtection="1">
      <alignment vertical="center"/>
      <protection locked="0"/>
    </xf>
    <xf numFmtId="165" fontId="43" fillId="0" borderId="361" xfId="0" applyNumberFormat="1" applyFont="1" applyFill="1" applyBorder="1" applyAlignment="1" applyProtection="1">
      <alignment vertical="center"/>
      <protection locked="0"/>
    </xf>
    <xf numFmtId="165" fontId="43" fillId="0" borderId="257" xfId="0" applyNumberFormat="1" applyFont="1" applyFill="1" applyBorder="1" applyAlignment="1" applyProtection="1">
      <alignment vertical="center"/>
      <protection locked="0"/>
    </xf>
    <xf numFmtId="165" fontId="43" fillId="0" borderId="362" xfId="0" applyNumberFormat="1" applyFont="1" applyFill="1" applyBorder="1" applyAlignment="1" applyProtection="1">
      <alignment vertical="center"/>
      <protection locked="0"/>
    </xf>
    <xf numFmtId="6" fontId="43" fillId="0" borderId="329" xfId="0" applyNumberFormat="1" applyFont="1" applyFill="1" applyBorder="1" applyAlignment="1" applyProtection="1">
      <alignment horizontal="right" vertical="center"/>
      <protection locked="0"/>
    </xf>
    <xf numFmtId="6" fontId="43" fillId="0" borderId="318" xfId="0" applyNumberFormat="1" applyFont="1" applyFill="1" applyBorder="1" applyAlignment="1" applyProtection="1">
      <alignment horizontal="right" vertical="center"/>
      <protection locked="0"/>
    </xf>
    <xf numFmtId="6" fontId="43" fillId="0" borderId="319" xfId="0" applyNumberFormat="1" applyFont="1" applyFill="1" applyBorder="1" applyAlignment="1" applyProtection="1">
      <alignment horizontal="right" vertical="center"/>
      <protection locked="0"/>
    </xf>
    <xf numFmtId="6" fontId="43" fillId="0" borderId="386" xfId="0" applyNumberFormat="1" applyFont="1" applyFill="1" applyBorder="1" applyAlignment="1" applyProtection="1">
      <alignment horizontal="right" vertical="center"/>
      <protection locked="0"/>
    </xf>
    <xf numFmtId="6" fontId="43" fillId="0" borderId="387" xfId="0" applyNumberFormat="1" applyFont="1" applyFill="1" applyBorder="1" applyAlignment="1" applyProtection="1">
      <alignment horizontal="right" vertical="center"/>
      <protection locked="0"/>
    </xf>
    <xf numFmtId="6" fontId="43" fillId="0" borderId="388" xfId="0" applyNumberFormat="1" applyFont="1" applyFill="1" applyBorder="1" applyAlignment="1" applyProtection="1">
      <alignment horizontal="right" vertical="center"/>
      <protection locked="0"/>
    </xf>
    <xf numFmtId="6" fontId="43" fillId="0" borderId="341" xfId="0" applyNumberFormat="1" applyFont="1" applyFill="1" applyBorder="1" applyAlignment="1" applyProtection="1">
      <alignment horizontal="right" vertical="center"/>
      <protection locked="0"/>
    </xf>
    <xf numFmtId="6" fontId="43" fillId="0" borderId="74" xfId="0" applyNumberFormat="1" applyFont="1" applyFill="1" applyBorder="1" applyAlignment="1" applyProtection="1">
      <alignment horizontal="right" vertical="center"/>
      <protection locked="0"/>
    </xf>
    <xf numFmtId="6" fontId="43" fillId="0" borderId="342" xfId="0" applyNumberFormat="1" applyFont="1" applyFill="1" applyBorder="1" applyAlignment="1" applyProtection="1">
      <alignment horizontal="right" vertical="center"/>
      <protection locked="0"/>
    </xf>
    <xf numFmtId="6" fontId="43" fillId="0" borderId="399" xfId="0" applyNumberFormat="1" applyFont="1" applyFill="1" applyBorder="1" applyAlignment="1" applyProtection="1">
      <alignment horizontal="right" vertical="center"/>
      <protection locked="0"/>
    </xf>
    <xf numFmtId="6" fontId="43" fillId="0" borderId="391" xfId="0" applyNumberFormat="1" applyFont="1" applyFill="1" applyBorder="1" applyAlignment="1" applyProtection="1">
      <alignment horizontal="right" vertical="center"/>
      <protection locked="0"/>
    </xf>
    <xf numFmtId="6" fontId="43" fillId="0" borderId="400" xfId="0" applyNumberFormat="1" applyFont="1" applyFill="1" applyBorder="1" applyAlignment="1" applyProtection="1">
      <alignment horizontal="right" vertical="center"/>
      <protection locked="0"/>
    </xf>
    <xf numFmtId="6" fontId="43" fillId="0" borderId="343" xfId="0" applyNumberFormat="1" applyFont="1" applyFill="1" applyBorder="1" applyAlignment="1" applyProtection="1">
      <alignment horizontal="right" vertical="center"/>
      <protection locked="0"/>
    </xf>
    <xf numFmtId="6" fontId="43" fillId="0" borderId="344" xfId="0" applyNumberFormat="1" applyFont="1" applyFill="1" applyBorder="1" applyAlignment="1" applyProtection="1">
      <alignment horizontal="right" vertical="center"/>
      <protection locked="0"/>
    </xf>
    <xf numFmtId="6" fontId="43" fillId="0" borderId="337" xfId="0" applyNumberFormat="1" applyFont="1" applyFill="1" applyBorder="1" applyAlignment="1" applyProtection="1">
      <alignment horizontal="right" vertical="center"/>
      <protection locked="0"/>
    </xf>
    <xf numFmtId="6" fontId="43" fillId="0" borderId="345" xfId="0" applyNumberFormat="1" applyFont="1" applyFill="1" applyBorder="1" applyAlignment="1" applyProtection="1">
      <alignment horizontal="right" vertical="center"/>
      <protection locked="0"/>
    </xf>
    <xf numFmtId="6" fontId="43" fillId="0" borderId="346" xfId="0" applyNumberFormat="1" applyFont="1" applyFill="1" applyBorder="1" applyAlignment="1" applyProtection="1">
      <alignment horizontal="right" vertical="center"/>
      <protection locked="0"/>
    </xf>
    <xf numFmtId="6" fontId="43" fillId="0" borderId="347" xfId="0" applyNumberFormat="1" applyFont="1" applyFill="1" applyBorder="1" applyAlignment="1" applyProtection="1">
      <alignment horizontal="right" vertical="center"/>
      <protection locked="0"/>
    </xf>
    <xf numFmtId="6" fontId="43" fillId="0" borderId="320" xfId="0" applyNumberFormat="1" applyFont="1" applyFill="1" applyBorder="1" applyAlignment="1" applyProtection="1">
      <alignment vertical="center"/>
      <protection locked="0"/>
    </xf>
    <xf numFmtId="6" fontId="43" fillId="0" borderId="321" xfId="0" applyNumberFormat="1" applyFont="1" applyFill="1" applyBorder="1" applyAlignment="1" applyProtection="1">
      <alignment vertical="center"/>
      <protection locked="0"/>
    </xf>
    <xf numFmtId="6" fontId="43" fillId="0" borderId="322" xfId="0" applyNumberFormat="1" applyFont="1" applyFill="1" applyBorder="1" applyAlignment="1" applyProtection="1">
      <alignment vertical="center"/>
      <protection locked="0"/>
    </xf>
    <xf numFmtId="6" fontId="43" fillId="0" borderId="329" xfId="0" quotePrefix="1" applyNumberFormat="1" applyFont="1" applyFill="1" applyBorder="1" applyAlignment="1" applyProtection="1">
      <alignment horizontal="right" vertical="center"/>
      <protection locked="0"/>
    </xf>
    <xf numFmtId="6" fontId="43" fillId="0" borderId="318" xfId="0" applyNumberFormat="1" applyFont="1" applyFill="1" applyBorder="1" applyAlignment="1" applyProtection="1">
      <alignment vertical="center"/>
      <protection locked="0"/>
    </xf>
    <xf numFmtId="6" fontId="43" fillId="0" borderId="319" xfId="0" applyNumberFormat="1" applyFont="1" applyFill="1" applyBorder="1" applyAlignment="1" applyProtection="1">
      <alignment vertical="center"/>
      <protection locked="0"/>
    </xf>
    <xf numFmtId="6" fontId="43" fillId="0" borderId="260" xfId="0" applyNumberFormat="1" applyFont="1" applyFill="1" applyBorder="1" applyAlignment="1" applyProtection="1">
      <alignment vertical="center"/>
      <protection locked="0"/>
    </xf>
    <xf numFmtId="6" fontId="43" fillId="0" borderId="312" xfId="0" applyNumberFormat="1" applyFont="1" applyFill="1" applyBorder="1" applyAlignment="1" applyProtection="1">
      <alignment vertical="center"/>
      <protection locked="0"/>
    </xf>
    <xf numFmtId="6" fontId="43" fillId="0" borderId="47" xfId="0" applyNumberFormat="1" applyFont="1" applyFill="1" applyBorder="1" applyAlignment="1" applyProtection="1">
      <alignment vertical="center"/>
      <protection locked="0"/>
    </xf>
    <xf numFmtId="6" fontId="43" fillId="0" borderId="38" xfId="0" applyNumberFormat="1" applyFont="1" applyFill="1" applyBorder="1" applyAlignment="1" applyProtection="1">
      <alignment vertical="center"/>
      <protection locked="0"/>
    </xf>
    <xf numFmtId="6" fontId="43" fillId="0" borderId="51" xfId="0" applyNumberFormat="1" applyFont="1" applyFill="1" applyBorder="1" applyAlignment="1" applyProtection="1">
      <alignment vertical="center"/>
      <protection locked="0"/>
    </xf>
    <xf numFmtId="6" fontId="43" fillId="0" borderId="53" xfId="0" applyNumberFormat="1" applyFont="1" applyFill="1" applyBorder="1" applyAlignment="1" applyProtection="1">
      <alignment vertical="center"/>
      <protection locked="0"/>
    </xf>
    <xf numFmtId="6" fontId="43" fillId="0" borderId="273" xfId="0" applyNumberFormat="1" applyFont="1" applyFill="1" applyBorder="1" applyAlignment="1" applyProtection="1">
      <alignment horizontal="right" vertical="center"/>
      <protection locked="0"/>
    </xf>
    <xf numFmtId="6" fontId="43" fillId="0" borderId="274" xfId="0" applyNumberFormat="1" applyFont="1" applyFill="1" applyBorder="1" applyAlignment="1" applyProtection="1">
      <alignment vertical="center"/>
      <protection locked="0"/>
    </xf>
    <xf numFmtId="6" fontId="43" fillId="0" borderId="275" xfId="0" applyNumberFormat="1" applyFont="1" applyFill="1" applyBorder="1" applyAlignment="1" applyProtection="1">
      <alignment vertical="center"/>
      <protection locked="0"/>
    </xf>
    <xf numFmtId="6" fontId="43" fillId="0" borderId="65" xfId="0" applyNumberFormat="1" applyFont="1" applyFill="1" applyBorder="1" applyAlignment="1" applyProtection="1">
      <alignment horizontal="right" vertical="center"/>
      <protection locked="0"/>
    </xf>
    <xf numFmtId="6" fontId="43" fillId="0" borderId="66" xfId="0" applyNumberFormat="1" applyFont="1" applyFill="1" applyBorder="1" applyAlignment="1" applyProtection="1">
      <alignment vertical="center"/>
      <protection locked="0"/>
    </xf>
    <xf numFmtId="6" fontId="43" fillId="0" borderId="67" xfId="0" applyNumberFormat="1" applyFont="1" applyFill="1" applyBorder="1" applyAlignment="1" applyProtection="1">
      <alignment vertical="center"/>
      <protection locked="0"/>
    </xf>
    <xf numFmtId="6" fontId="43" fillId="0" borderId="404" xfId="0" applyNumberFormat="1" applyFont="1" applyFill="1" applyBorder="1" applyAlignment="1" applyProtection="1">
      <alignment horizontal="right" vertical="center"/>
      <protection locked="0"/>
    </xf>
    <xf numFmtId="6" fontId="43" fillId="0" borderId="161" xfId="0" applyNumberFormat="1" applyFont="1" applyFill="1" applyBorder="1" applyAlignment="1" applyProtection="1">
      <alignment vertical="center"/>
      <protection locked="0"/>
    </xf>
    <xf numFmtId="6" fontId="43" fillId="0" borderId="146" xfId="0" applyNumberFormat="1" applyFont="1" applyFill="1" applyBorder="1" applyAlignment="1" applyProtection="1">
      <alignment vertical="center"/>
      <protection locked="0"/>
    </xf>
    <xf numFmtId="5" fontId="46" fillId="6" borderId="304" xfId="0" applyNumberFormat="1" applyFont="1" applyFill="1" applyBorder="1" applyAlignment="1" applyProtection="1">
      <alignment vertical="center"/>
    </xf>
    <xf numFmtId="5" fontId="46" fillId="6" borderId="305" xfId="0" applyNumberFormat="1" applyFont="1" applyFill="1" applyBorder="1" applyAlignment="1" applyProtection="1">
      <alignment vertical="center"/>
    </xf>
    <xf numFmtId="5" fontId="46" fillId="6" borderId="306" xfId="0" applyNumberFormat="1" applyFont="1" applyFill="1" applyBorder="1" applyAlignment="1" applyProtection="1">
      <alignment vertical="center"/>
    </xf>
    <xf numFmtId="0" fontId="18" fillId="0" borderId="14" xfId="0" applyFont="1" applyFill="1" applyBorder="1" applyAlignment="1" applyProtection="1">
      <alignment textRotation="90" wrapText="1"/>
    </xf>
    <xf numFmtId="0" fontId="18" fillId="0" borderId="19" xfId="0" applyFont="1" applyFill="1" applyBorder="1" applyAlignment="1" applyProtection="1">
      <alignment horizontal="center" vertical="center" wrapText="1"/>
      <protection locked="0"/>
    </xf>
    <xf numFmtId="0" fontId="18" fillId="0" borderId="420" xfId="0" applyFont="1" applyFill="1" applyBorder="1" applyAlignment="1" applyProtection="1">
      <alignment horizontal="center" vertical="center" wrapText="1"/>
      <protection locked="0"/>
    </xf>
    <xf numFmtId="0" fontId="18" fillId="0" borderId="310" xfId="0" applyFont="1" applyFill="1" applyBorder="1" applyAlignment="1" applyProtection="1">
      <alignment horizontal="center" vertical="center" wrapText="1"/>
      <protection locked="0"/>
    </xf>
    <xf numFmtId="0" fontId="18" fillId="0" borderId="24" xfId="0" applyFont="1" applyFill="1" applyBorder="1" applyAlignment="1" applyProtection="1">
      <alignment vertical="top"/>
    </xf>
    <xf numFmtId="0" fontId="18" fillId="0" borderId="557" xfId="0" applyFont="1" applyFill="1" applyBorder="1" applyAlignment="1" applyProtection="1">
      <alignment vertical="top"/>
    </xf>
    <xf numFmtId="0" fontId="18" fillId="0" borderId="558" xfId="0" applyFont="1" applyFill="1" applyBorder="1" applyAlignment="1" applyProtection="1">
      <alignment vertical="top" wrapText="1"/>
    </xf>
    <xf numFmtId="0" fontId="18" fillId="0" borderId="121" xfId="0" applyFont="1" applyFill="1" applyBorder="1" applyAlignment="1" applyProtection="1">
      <alignment vertical="top"/>
    </xf>
    <xf numFmtId="0" fontId="18" fillId="0" borderId="559" xfId="0" applyFont="1" applyFill="1" applyBorder="1" applyAlignment="1" applyProtection="1">
      <alignment vertical="top" wrapText="1"/>
    </xf>
    <xf numFmtId="0" fontId="18" fillId="0" borderId="119" xfId="0" applyFont="1" applyFill="1" applyBorder="1" applyAlignment="1" applyProtection="1">
      <alignment vertical="top"/>
    </xf>
    <xf numFmtId="0" fontId="18" fillId="0" borderId="560" xfId="0" applyFont="1" applyFill="1" applyBorder="1" applyAlignment="1" applyProtection="1">
      <alignment vertical="top" wrapText="1"/>
    </xf>
    <xf numFmtId="0" fontId="18" fillId="0" borderId="78" xfId="0" applyFont="1" applyFill="1" applyBorder="1" applyAlignment="1" applyProtection="1">
      <alignment vertical="top" wrapText="1"/>
      <protection locked="0"/>
    </xf>
    <xf numFmtId="0" fontId="23" fillId="18" borderId="0" xfId="0" applyFont="1" applyFill="1" applyBorder="1" applyAlignment="1" applyProtection="1">
      <alignment horizontal="center" wrapText="1"/>
    </xf>
    <xf numFmtId="0" fontId="23" fillId="18" borderId="0" xfId="0" applyFont="1" applyFill="1" applyBorder="1" applyAlignment="1" applyProtection="1">
      <alignment horizontal="center"/>
    </xf>
    <xf numFmtId="0" fontId="18" fillId="18" borderId="0" xfId="0" applyFont="1" applyFill="1" applyBorder="1" applyAlignment="1" applyProtection="1">
      <alignment wrapText="1"/>
    </xf>
    <xf numFmtId="0" fontId="57" fillId="18" borderId="0" xfId="0" applyFont="1" applyFill="1" applyBorder="1" applyAlignment="1" applyProtection="1">
      <alignment wrapText="1"/>
    </xf>
    <xf numFmtId="169" fontId="57" fillId="0" borderId="477" xfId="0" applyNumberFormat="1" applyFont="1" applyFill="1" applyBorder="1" applyAlignment="1" applyProtection="1">
      <alignment horizontal="left"/>
      <protection locked="0"/>
    </xf>
    <xf numFmtId="0" fontId="75" fillId="0" borderId="477" xfId="0" applyFont="1" applyFill="1" applyBorder="1" applyAlignment="1" applyProtection="1">
      <alignment horizontal="center" vertical="top"/>
      <protection locked="0"/>
    </xf>
    <xf numFmtId="37" fontId="47" fillId="0" borderId="477" xfId="0" applyNumberFormat="1" applyFont="1" applyFill="1" applyBorder="1" applyAlignment="1" applyProtection="1">
      <alignment horizontal="right"/>
      <protection locked="0"/>
    </xf>
    <xf numFmtId="37" fontId="47" fillId="6" borderId="477" xfId="0" applyNumberFormat="1" applyFont="1" applyFill="1" applyBorder="1" applyAlignment="1" applyProtection="1">
      <alignment horizontal="right"/>
    </xf>
    <xf numFmtId="9" fontId="47" fillId="6" borderId="477" xfId="0" applyNumberFormat="1" applyFont="1" applyFill="1" applyBorder="1" applyAlignment="1" applyProtection="1">
      <alignment horizontal="right"/>
    </xf>
    <xf numFmtId="0" fontId="47" fillId="0" borderId="6" xfId="0" applyFont="1" applyFill="1" applyBorder="1" applyProtection="1"/>
    <xf numFmtId="44" fontId="57" fillId="0" borderId="6" xfId="0" applyNumberFormat="1" applyFont="1" applyFill="1" applyBorder="1" applyAlignment="1" applyProtection="1">
      <alignment horizontal="left"/>
    </xf>
    <xf numFmtId="44" fontId="47" fillId="0" borderId="6" xfId="0" applyNumberFormat="1" applyFont="1" applyFill="1" applyBorder="1" applyAlignment="1" applyProtection="1">
      <alignment horizontal="left"/>
    </xf>
    <xf numFmtId="0" fontId="57" fillId="0" borderId="21" xfId="0" applyFont="1" applyFill="1" applyBorder="1" applyProtection="1"/>
    <xf numFmtId="0" fontId="17" fillId="0" borderId="477" xfId="0" applyFont="1" applyFill="1" applyBorder="1" applyAlignment="1" applyProtection="1">
      <alignment horizontal="center"/>
      <protection locked="0"/>
    </xf>
    <xf numFmtId="3" fontId="0" fillId="0" borderId="0" xfId="0" applyNumberFormat="1"/>
    <xf numFmtId="0" fontId="0" fillId="0" borderId="0" xfId="0"/>
    <xf numFmtId="0" fontId="2" fillId="6" borderId="0" xfId="0" applyFont="1" applyFill="1"/>
    <xf numFmtId="0" fontId="2" fillId="6" borderId="0" xfId="0" applyNumberFormat="1" applyFont="1" applyFill="1"/>
    <xf numFmtId="44" fontId="2" fillId="6" borderId="0" xfId="0" applyNumberFormat="1" applyFont="1" applyFill="1"/>
    <xf numFmtId="0" fontId="2" fillId="6" borderId="0" xfId="0" applyNumberFormat="1" applyFont="1" applyFill="1"/>
    <xf numFmtId="44" fontId="0" fillId="0" borderId="0" xfId="0" applyNumberFormat="1"/>
    <xf numFmtId="9" fontId="2" fillId="6" borderId="0" xfId="0" quotePrefix="1" applyNumberFormat="1" applyFont="1" applyFill="1" applyAlignment="1">
      <alignment horizontal="center"/>
    </xf>
    <xf numFmtId="9" fontId="2" fillId="6" borderId="0" xfId="0" applyNumberFormat="1" applyFont="1" applyFill="1" applyAlignment="1">
      <alignment horizontal="center"/>
    </xf>
    <xf numFmtId="2" fontId="0" fillId="0" borderId="0" xfId="0" applyNumberFormat="1"/>
    <xf numFmtId="2" fontId="2" fillId="6" borderId="0" xfId="0" applyNumberFormat="1" applyFont="1" applyFill="1"/>
    <xf numFmtId="0" fontId="0" fillId="31" borderId="0" xfId="0" applyFill="1"/>
    <xf numFmtId="169" fontId="2" fillId="6" borderId="0" xfId="0" applyNumberFormat="1" applyFont="1" applyFill="1"/>
    <xf numFmtId="49" fontId="2" fillId="6" borderId="0" xfId="0" applyNumberFormat="1" applyFont="1" applyFill="1"/>
    <xf numFmtId="44" fontId="2" fillId="6" borderId="0" xfId="0" applyNumberFormat="1" applyFont="1" applyFill="1" applyAlignment="1">
      <alignment wrapText="1"/>
    </xf>
    <xf numFmtId="43" fontId="2" fillId="6" borderId="0" xfId="0" applyNumberFormat="1" applyFont="1" applyFill="1"/>
    <xf numFmtId="42" fontId="0" fillId="0" borderId="0" xfId="0" applyNumberFormat="1"/>
    <xf numFmtId="5" fontId="0" fillId="0" borderId="0" xfId="0" applyNumberFormat="1"/>
    <xf numFmtId="6" fontId="0" fillId="0" borderId="0" xfId="0" applyNumberFormat="1"/>
    <xf numFmtId="6" fontId="18" fillId="0" borderId="279" xfId="0" applyNumberFormat="1" applyFont="1" applyFill="1" applyBorder="1" applyAlignment="1" applyProtection="1">
      <protection locked="0"/>
    </xf>
    <xf numFmtId="6" fontId="18" fillId="0" borderId="120" xfId="0" applyNumberFormat="1" applyFont="1" applyFill="1" applyBorder="1" applyAlignment="1" applyProtection="1">
      <protection locked="0"/>
    </xf>
    <xf numFmtId="6" fontId="18" fillId="0" borderId="149" xfId="0" applyNumberFormat="1" applyFont="1" applyFill="1" applyBorder="1" applyAlignment="1" applyProtection="1">
      <protection locked="0"/>
    </xf>
    <xf numFmtId="6" fontId="18" fillId="28" borderId="495" xfId="0" applyNumberFormat="1" applyFont="1" applyFill="1" applyBorder="1" applyAlignment="1" applyProtection="1"/>
    <xf numFmtId="167" fontId="58" fillId="0" borderId="561" xfId="0" applyNumberFormat="1" applyFont="1" applyFill="1" applyBorder="1" applyProtection="1">
      <protection locked="0"/>
    </xf>
    <xf numFmtId="38" fontId="58" fillId="0" borderId="452" xfId="0" applyNumberFormat="1" applyFont="1" applyBorder="1" applyProtection="1"/>
    <xf numFmtId="9" fontId="58" fillId="6" borderId="65" xfId="0" applyNumberFormat="1" applyFont="1" applyFill="1" applyBorder="1" applyProtection="1"/>
    <xf numFmtId="9" fontId="58" fillId="6" borderId="67" xfId="0" applyNumberFormat="1" applyFont="1" applyFill="1" applyBorder="1" applyProtection="1"/>
    <xf numFmtId="0" fontId="17" fillId="0" borderId="176" xfId="0" applyFont="1" applyFill="1" applyBorder="1" applyAlignment="1" applyProtection="1">
      <alignment horizontal="center"/>
      <protection locked="0"/>
    </xf>
    <xf numFmtId="0" fontId="17" fillId="0" borderId="65" xfId="0" applyFont="1" applyFill="1" applyBorder="1" applyAlignment="1" applyProtection="1">
      <alignment horizontal="center"/>
      <protection locked="0"/>
    </xf>
    <xf numFmtId="0" fontId="1" fillId="0" borderId="65" xfId="0" applyFont="1" applyFill="1" applyBorder="1" applyAlignment="1" applyProtection="1">
      <alignment horizontal="center"/>
      <protection locked="0"/>
    </xf>
    <xf numFmtId="0" fontId="1" fillId="0" borderId="108" xfId="0" applyFont="1" applyFill="1" applyBorder="1" applyAlignment="1" applyProtection="1">
      <alignment horizontal="center"/>
      <protection locked="0"/>
    </xf>
    <xf numFmtId="0" fontId="3" fillId="0" borderId="164" xfId="0" applyFont="1" applyBorder="1" applyProtection="1">
      <protection locked="0"/>
    </xf>
    <xf numFmtId="0" fontId="0" fillId="0" borderId="165" xfId="0" applyBorder="1" applyProtection="1">
      <protection locked="0"/>
    </xf>
    <xf numFmtId="0" fontId="3" fillId="0" borderId="166" xfId="0" applyFont="1" applyBorder="1" applyProtection="1">
      <protection locked="0"/>
    </xf>
    <xf numFmtId="0" fontId="42" fillId="18" borderId="290" xfId="0" applyFont="1" applyFill="1" applyBorder="1" applyAlignment="1" applyProtection="1">
      <alignment vertical="center"/>
      <protection locked="0"/>
    </xf>
    <xf numFmtId="0" fontId="43" fillId="0" borderId="181" xfId="0" applyFont="1" applyFill="1" applyBorder="1" applyAlignment="1" applyProtection="1">
      <alignment horizontal="left"/>
      <protection locked="0"/>
    </xf>
    <xf numFmtId="0" fontId="44" fillId="0" borderId="132" xfId="0" applyFont="1" applyBorder="1" applyAlignment="1" applyProtection="1">
      <protection locked="0"/>
    </xf>
    <xf numFmtId="0" fontId="18" fillId="0" borderId="181" xfId="0" applyFont="1" applyFill="1" applyBorder="1" applyAlignment="1" applyProtection="1">
      <alignment horizontal="center"/>
      <protection locked="0"/>
    </xf>
    <xf numFmtId="0" fontId="18" fillId="0" borderId="106" xfId="0" applyFont="1" applyFill="1" applyBorder="1" applyAlignment="1" applyProtection="1">
      <alignment horizontal="center"/>
      <protection locked="0"/>
    </xf>
    <xf numFmtId="0" fontId="0" fillId="0" borderId="104" xfId="0" applyFont="1" applyBorder="1" applyAlignment="1" applyProtection="1">
      <protection locked="0"/>
    </xf>
    <xf numFmtId="0" fontId="0" fillId="0" borderId="157" xfId="0" applyFont="1" applyFill="1" applyBorder="1" applyAlignment="1" applyProtection="1">
      <alignment horizontal="center"/>
      <protection locked="0"/>
    </xf>
    <xf numFmtId="0" fontId="0" fillId="0" borderId="124" xfId="0" applyFont="1" applyFill="1" applyBorder="1" applyAlignment="1" applyProtection="1">
      <alignment horizontal="center"/>
      <protection locked="0"/>
    </xf>
    <xf numFmtId="14" fontId="3" fillId="0" borderId="87" xfId="0" applyNumberFormat="1" applyFont="1" applyFill="1" applyBorder="1" applyAlignment="1" applyProtection="1">
      <alignment horizontal="center"/>
      <protection locked="0"/>
    </xf>
    <xf numFmtId="14" fontId="3" fillId="0" borderId="66" xfId="0" applyNumberFormat="1" applyFont="1" applyFill="1" applyBorder="1" applyAlignment="1" applyProtection="1">
      <alignment horizontal="center"/>
      <protection locked="0"/>
    </xf>
    <xf numFmtId="0" fontId="3" fillId="0" borderId="99" xfId="0" applyFont="1" applyFill="1" applyBorder="1" applyAlignment="1" applyProtection="1">
      <alignment horizontal="center"/>
      <protection locked="0"/>
    </xf>
    <xf numFmtId="3" fontId="3" fillId="29" borderId="562" xfId="0" applyNumberFormat="1" applyFont="1" applyFill="1" applyBorder="1" applyAlignment="1" applyProtection="1">
      <alignment vertical="center" wrapText="1"/>
    </xf>
    <xf numFmtId="3" fontId="3" fillId="29" borderId="84" xfId="0" applyNumberFormat="1" applyFont="1" applyFill="1" applyBorder="1" applyAlignment="1" applyProtection="1">
      <alignment vertical="center" wrapText="1"/>
    </xf>
    <xf numFmtId="0" fontId="2" fillId="18" borderId="85" xfId="0" applyFont="1" applyFill="1" applyBorder="1" applyAlignment="1" applyProtection="1"/>
    <xf numFmtId="0" fontId="0" fillId="0" borderId="105" xfId="0" applyFont="1" applyBorder="1" applyAlignment="1" applyProtection="1">
      <protection locked="0"/>
    </xf>
    <xf numFmtId="3" fontId="3" fillId="29" borderId="114" xfId="0" applyNumberFormat="1" applyFont="1" applyFill="1" applyBorder="1" applyAlignment="1" applyProtection="1">
      <alignment vertical="center" wrapText="1"/>
    </xf>
    <xf numFmtId="3" fontId="3" fillId="29" borderId="85" xfId="0" applyNumberFormat="1" applyFont="1" applyFill="1" applyBorder="1" applyAlignment="1" applyProtection="1">
      <alignment vertical="center" wrapText="1"/>
    </xf>
    <xf numFmtId="3" fontId="3" fillId="29" borderId="184" xfId="0" applyNumberFormat="1" applyFont="1" applyFill="1" applyBorder="1" applyAlignment="1" applyProtection="1">
      <alignment vertical="center" wrapText="1"/>
    </xf>
    <xf numFmtId="0" fontId="18" fillId="0" borderId="563" xfId="0" applyFont="1" applyFill="1" applyBorder="1" applyAlignment="1" applyProtection="1">
      <protection locked="0"/>
    </xf>
    <xf numFmtId="9" fontId="18" fillId="0" borderId="564" xfId="0" applyNumberFormat="1" applyFont="1" applyFill="1" applyBorder="1" applyAlignment="1" applyProtection="1">
      <protection locked="0"/>
    </xf>
    <xf numFmtId="0" fontId="18" fillId="0" borderId="565" xfId="0" applyFont="1" applyFill="1" applyBorder="1" applyAlignment="1" applyProtection="1">
      <protection locked="0"/>
    </xf>
    <xf numFmtId="9" fontId="18" fillId="0" borderId="566" xfId="0" applyNumberFormat="1" applyFont="1" applyFill="1" applyBorder="1" applyAlignment="1" applyProtection="1">
      <protection locked="0"/>
    </xf>
    <xf numFmtId="0" fontId="18" fillId="0" borderId="567" xfId="0" applyFont="1" applyFill="1" applyBorder="1" applyAlignment="1" applyProtection="1">
      <protection locked="0"/>
    </xf>
    <xf numFmtId="9" fontId="18" fillId="0" borderId="568" xfId="0" applyNumberFormat="1" applyFont="1" applyFill="1" applyBorder="1" applyAlignment="1" applyProtection="1">
      <protection locked="0"/>
    </xf>
    <xf numFmtId="0" fontId="18" fillId="0" borderId="569" xfId="0" applyFont="1" applyFill="1" applyBorder="1" applyAlignment="1" applyProtection="1">
      <protection locked="0"/>
    </xf>
    <xf numFmtId="0" fontId="18" fillId="0" borderId="570" xfId="0" applyFont="1" applyFill="1" applyBorder="1" applyAlignment="1" applyProtection="1">
      <protection locked="0"/>
    </xf>
    <xf numFmtId="0" fontId="17" fillId="6" borderId="6" xfId="0" applyFont="1" applyFill="1" applyBorder="1" applyAlignment="1" applyProtection="1"/>
    <xf numFmtId="0" fontId="66" fillId="0" borderId="0" xfId="0" applyFont="1" applyFill="1" applyBorder="1" applyAlignment="1" applyProtection="1">
      <alignment horizontal="right" vertical="center"/>
    </xf>
    <xf numFmtId="0" fontId="18" fillId="6" borderId="6" xfId="0" applyFont="1" applyFill="1" applyBorder="1" applyAlignment="1" applyProtection="1"/>
    <xf numFmtId="166" fontId="43" fillId="0" borderId="315" xfId="0" applyNumberFormat="1" applyFont="1" applyFill="1" applyBorder="1" applyAlignment="1" applyProtection="1">
      <alignment horizontal="right" vertical="center"/>
      <protection locked="0"/>
    </xf>
    <xf numFmtId="166" fontId="43" fillId="0" borderId="37" xfId="0" applyNumberFormat="1" applyFont="1" applyFill="1" applyBorder="1" applyAlignment="1" applyProtection="1">
      <alignment horizontal="right" vertical="center"/>
      <protection locked="0"/>
    </xf>
    <xf numFmtId="0" fontId="18" fillId="0" borderId="79" xfId="0" applyFont="1" applyFill="1" applyBorder="1" applyAlignment="1" applyProtection="1">
      <alignment horizontal="center"/>
      <protection locked="0"/>
    </xf>
    <xf numFmtId="0" fontId="18" fillId="0" borderId="24" xfId="0" applyFont="1" applyFill="1" applyBorder="1" applyAlignment="1" applyProtection="1"/>
    <xf numFmtId="0" fontId="0" fillId="0" borderId="525" xfId="0" applyFont="1" applyFill="1" applyBorder="1" applyProtection="1"/>
    <xf numFmtId="0" fontId="0" fillId="0" borderId="527" xfId="0" applyFont="1" applyFill="1" applyBorder="1" applyProtection="1"/>
    <xf numFmtId="0" fontId="0" fillId="0" borderId="536" xfId="0" applyFont="1" applyFill="1" applyBorder="1" applyProtection="1"/>
    <xf numFmtId="0" fontId="1" fillId="0" borderId="0" xfId="0" applyFont="1" applyFill="1" applyAlignment="1" applyProtection="1"/>
    <xf numFmtId="0" fontId="0" fillId="0" borderId="505" xfId="0" applyFont="1" applyFill="1" applyBorder="1" applyProtection="1"/>
    <xf numFmtId="0" fontId="26" fillId="0" borderId="505" xfId="0" applyFont="1" applyFill="1" applyBorder="1" applyProtection="1"/>
    <xf numFmtId="0" fontId="1" fillId="0" borderId="0" xfId="0" applyFont="1" applyFill="1" applyAlignment="1" applyProtection="1">
      <alignment vertical="top"/>
    </xf>
    <xf numFmtId="0" fontId="3" fillId="5" borderId="572" xfId="1" applyFont="1" applyFill="1" applyBorder="1" applyAlignment="1" applyProtection="1">
      <alignment wrapText="1"/>
    </xf>
    <xf numFmtId="0" fontId="3" fillId="5" borderId="0" xfId="1" applyFont="1" applyFill="1" applyBorder="1" applyAlignment="1" applyProtection="1">
      <alignment wrapText="1"/>
    </xf>
    <xf numFmtId="0" fontId="18" fillId="0" borderId="6" xfId="0" applyFont="1" applyFill="1" applyBorder="1" applyProtection="1">
      <protection locked="0"/>
    </xf>
    <xf numFmtId="0" fontId="18" fillId="0" borderId="0" xfId="0" applyFont="1" applyFill="1" applyBorder="1" applyAlignment="1" applyProtection="1"/>
    <xf numFmtId="0" fontId="3" fillId="6" borderId="6" xfId="0" applyFont="1" applyFill="1" applyBorder="1" applyAlignment="1" applyProtection="1"/>
    <xf numFmtId="0" fontId="17" fillId="6" borderId="6" xfId="0" applyFont="1" applyFill="1" applyBorder="1" applyAlignment="1" applyProtection="1"/>
    <xf numFmtId="0" fontId="23" fillId="18" borderId="0" xfId="0" applyFont="1" applyFill="1" applyBorder="1" applyAlignment="1" applyProtection="1"/>
    <xf numFmtId="0" fontId="46" fillId="0" borderId="0" xfId="0" applyFont="1" applyFill="1" applyBorder="1" applyAlignment="1" applyProtection="1"/>
    <xf numFmtId="0" fontId="66" fillId="0" borderId="0" xfId="0" applyFont="1" applyFill="1" applyBorder="1" applyAlignment="1" applyProtection="1">
      <alignment horizontal="right" vertical="center"/>
    </xf>
    <xf numFmtId="0" fontId="18" fillId="6" borderId="6" xfId="0" applyFont="1" applyFill="1" applyBorder="1" applyAlignment="1" applyProtection="1"/>
    <xf numFmtId="0" fontId="0" fillId="0" borderId="0" xfId="0" applyFont="1" applyFill="1" applyBorder="1" applyProtection="1"/>
    <xf numFmtId="0" fontId="18" fillId="0" borderId="0" xfId="0" applyFont="1" applyFill="1" applyBorder="1" applyAlignment="1" applyProtection="1">
      <alignment horizontal="left"/>
    </xf>
    <xf numFmtId="0" fontId="23" fillId="14" borderId="0" xfId="0" applyFont="1" applyFill="1" applyBorder="1" applyAlignment="1" applyProtection="1"/>
    <xf numFmtId="0" fontId="43" fillId="14" borderId="0" xfId="0" applyFont="1" applyFill="1" applyBorder="1" applyAlignment="1" applyProtection="1">
      <alignment vertical="center"/>
    </xf>
    <xf numFmtId="14" fontId="3" fillId="0" borderId="102" xfId="0" applyNumberFormat="1" applyFont="1" applyFill="1" applyBorder="1" applyAlignment="1" applyProtection="1">
      <alignment horizontal="center"/>
      <protection locked="0"/>
    </xf>
    <xf numFmtId="44" fontId="0" fillId="0" borderId="0" xfId="0" applyNumberFormat="1" applyFont="1" applyProtection="1">
      <protection locked="0"/>
    </xf>
    <xf numFmtId="42" fontId="18" fillId="20" borderId="434" xfId="0" applyNumberFormat="1" applyFont="1" applyFill="1" applyBorder="1" applyAlignment="1" applyProtection="1">
      <alignment vertical="center"/>
    </xf>
    <xf numFmtId="0" fontId="18" fillId="0" borderId="0" xfId="0" applyFont="1" applyFill="1" applyBorder="1" applyAlignment="1" applyProtection="1"/>
    <xf numFmtId="0" fontId="18" fillId="0" borderId="6" xfId="0" applyFont="1" applyFill="1" applyBorder="1" applyAlignment="1" applyProtection="1">
      <alignment horizontal="left"/>
      <protection locked="0"/>
    </xf>
    <xf numFmtId="0" fontId="22" fillId="18" borderId="254" xfId="0" applyFont="1" applyFill="1" applyBorder="1" applyAlignment="1" applyProtection="1"/>
    <xf numFmtId="0" fontId="46" fillId="0" borderId="0" xfId="0" applyFont="1" applyFill="1" applyBorder="1" applyAlignment="1" applyProtection="1"/>
    <xf numFmtId="0" fontId="22" fillId="18" borderId="254" xfId="0" applyFont="1" applyFill="1" applyBorder="1" applyAlignment="1" applyProtection="1">
      <alignment wrapText="1"/>
    </xf>
    <xf numFmtId="0" fontId="22" fillId="18" borderId="255" xfId="0" applyFont="1" applyFill="1" applyBorder="1" applyAlignment="1" applyProtection="1">
      <alignment wrapText="1"/>
    </xf>
    <xf numFmtId="0" fontId="18" fillId="6" borderId="6" xfId="0" applyFont="1" applyFill="1" applyBorder="1" applyAlignment="1" applyProtection="1"/>
    <xf numFmtId="0" fontId="18" fillId="0" borderId="0" xfId="0" applyFont="1" applyFill="1" applyBorder="1" applyAlignment="1" applyProtection="1">
      <alignment horizontal="left"/>
    </xf>
    <xf numFmtId="0" fontId="19" fillId="0" borderId="0" xfId="0" applyFont="1" applyFill="1" applyBorder="1" applyAlignment="1" applyProtection="1"/>
    <xf numFmtId="42" fontId="25" fillId="6" borderId="453" xfId="0" applyNumberFormat="1" applyFont="1" applyFill="1" applyBorder="1" applyAlignment="1" applyProtection="1">
      <alignment vertical="center"/>
    </xf>
    <xf numFmtId="42" fontId="25" fillId="6" borderId="81" xfId="0" applyNumberFormat="1" applyFont="1" applyFill="1" applyBorder="1" applyAlignment="1" applyProtection="1">
      <alignment vertical="center"/>
    </xf>
    <xf numFmtId="42" fontId="25" fillId="6" borderId="136" xfId="0" applyNumberFormat="1" applyFont="1" applyFill="1" applyBorder="1" applyAlignment="1" applyProtection="1">
      <alignment vertical="center" wrapText="1"/>
    </xf>
    <xf numFmtId="42" fontId="25" fillId="12" borderId="114" xfId="0" applyNumberFormat="1" applyFont="1" applyFill="1" applyBorder="1" applyAlignment="1" applyProtection="1">
      <alignment vertical="center"/>
    </xf>
    <xf numFmtId="42" fontId="25" fillId="12" borderId="453" xfId="0" applyNumberFormat="1" applyFont="1" applyFill="1" applyBorder="1" applyAlignment="1" applyProtection="1">
      <alignment vertical="center"/>
    </xf>
    <xf numFmtId="42" fontId="25" fillId="6" borderId="136" xfId="0" applyNumberFormat="1" applyFont="1" applyFill="1" applyBorder="1" applyAlignment="1" applyProtection="1">
      <alignment vertical="center"/>
    </xf>
    <xf numFmtId="42" fontId="25" fillId="12" borderId="81" xfId="0" applyNumberFormat="1" applyFont="1" applyFill="1" applyBorder="1" applyAlignment="1" applyProtection="1">
      <alignment vertical="center"/>
    </xf>
    <xf numFmtId="42" fontId="25" fillId="12" borderId="136" xfId="0" applyNumberFormat="1" applyFont="1" applyFill="1" applyBorder="1" applyAlignment="1" applyProtection="1">
      <alignment vertical="center"/>
    </xf>
    <xf numFmtId="42" fontId="25" fillId="12" borderId="436" xfId="0" applyNumberFormat="1" applyFont="1" applyFill="1" applyBorder="1" applyAlignment="1" applyProtection="1">
      <alignment vertical="center"/>
    </xf>
    <xf numFmtId="42" fontId="25" fillId="11" borderId="452" xfId="0" applyNumberFormat="1" applyFont="1" applyFill="1" applyBorder="1" applyAlignment="1" applyProtection="1">
      <alignment vertical="center"/>
    </xf>
    <xf numFmtId="42" fontId="25" fillId="11" borderId="428" xfId="0" applyNumberFormat="1" applyFont="1" applyFill="1" applyBorder="1" applyAlignment="1" applyProtection="1">
      <alignment vertical="center"/>
    </xf>
    <xf numFmtId="42" fontId="25" fillId="12" borderId="256" xfId="0" applyNumberFormat="1" applyFont="1" applyFill="1" applyBorder="1" applyAlignment="1" applyProtection="1">
      <alignment vertical="center"/>
    </xf>
    <xf numFmtId="42" fontId="25" fillId="12" borderId="281" xfId="0" applyNumberFormat="1" applyFont="1" applyFill="1" applyBorder="1" applyAlignment="1" applyProtection="1">
      <alignment vertical="center"/>
    </xf>
    <xf numFmtId="0" fontId="2" fillId="0" borderId="0" xfId="0" applyFont="1" applyFill="1" applyBorder="1" applyAlignment="1" applyProtection="1">
      <alignment horizontal="right"/>
    </xf>
    <xf numFmtId="0" fontId="27" fillId="6" borderId="6" xfId="0" applyFont="1" applyFill="1" applyBorder="1" applyProtection="1"/>
    <xf numFmtId="0" fontId="18" fillId="6" borderId="421" xfId="0" applyNumberFormat="1" applyFont="1" applyFill="1" applyBorder="1" applyAlignment="1" applyProtection="1"/>
    <xf numFmtId="0" fontId="18" fillId="6" borderId="334" xfId="0" applyNumberFormat="1" applyFont="1" applyFill="1" applyBorder="1" applyAlignment="1" applyProtection="1"/>
    <xf numFmtId="0" fontId="18" fillId="6" borderId="335" xfId="0" applyNumberFormat="1" applyFont="1" applyFill="1" applyBorder="1" applyAlignment="1" applyProtection="1"/>
    <xf numFmtId="0" fontId="22" fillId="0" borderId="461" xfId="0" applyNumberFormat="1" applyFont="1" applyFill="1" applyBorder="1" applyAlignment="1" applyProtection="1"/>
    <xf numFmtId="0" fontId="18" fillId="0" borderId="461" xfId="0" applyNumberFormat="1" applyFont="1" applyFill="1" applyBorder="1" applyAlignment="1" applyProtection="1"/>
    <xf numFmtId="49" fontId="18" fillId="0" borderId="338" xfId="0" applyNumberFormat="1" applyFont="1" applyFill="1" applyBorder="1" applyAlignment="1" applyProtection="1">
      <alignment horizontal="left"/>
    </xf>
    <xf numFmtId="0" fontId="18" fillId="6" borderId="586" xfId="0" applyNumberFormat="1" applyFont="1" applyFill="1" applyBorder="1" applyAlignment="1" applyProtection="1"/>
    <xf numFmtId="0" fontId="18" fillId="6" borderId="394" xfId="0" applyNumberFormat="1" applyFont="1" applyFill="1" applyBorder="1" applyAlignment="1" applyProtection="1"/>
    <xf numFmtId="0" fontId="18" fillId="6" borderId="587" xfId="0" applyNumberFormat="1" applyFont="1" applyFill="1" applyBorder="1" applyAlignment="1" applyProtection="1"/>
    <xf numFmtId="0" fontId="18" fillId="0" borderId="0" xfId="0" applyNumberFormat="1" applyFont="1" applyFill="1" applyBorder="1" applyAlignment="1" applyProtection="1"/>
    <xf numFmtId="0" fontId="0" fillId="0" borderId="0" xfId="0" applyFont="1" applyFill="1" applyBorder="1" applyProtection="1">
      <protection locked="0"/>
    </xf>
    <xf numFmtId="0" fontId="18" fillId="6" borderId="432" xfId="0" applyNumberFormat="1" applyFont="1" applyFill="1" applyBorder="1" applyAlignment="1" applyProtection="1"/>
    <xf numFmtId="0" fontId="18" fillId="6" borderId="338" xfId="0" applyNumberFormat="1" applyFont="1" applyFill="1" applyBorder="1" applyAlignment="1" applyProtection="1"/>
    <xf numFmtId="0" fontId="18" fillId="6" borderId="581" xfId="0" applyNumberFormat="1" applyFont="1" applyFill="1" applyBorder="1" applyAlignment="1" applyProtection="1"/>
    <xf numFmtId="0" fontId="22" fillId="0" borderId="0" xfId="0" applyNumberFormat="1" applyFont="1" applyFill="1" applyBorder="1" applyAlignment="1" applyProtection="1"/>
    <xf numFmtId="0" fontId="22" fillId="0" borderId="461" xfId="0" applyFont="1" applyFill="1" applyBorder="1" applyProtection="1"/>
    <xf numFmtId="0" fontId="22" fillId="24" borderId="0" xfId="0" applyFont="1" applyFill="1" applyBorder="1" applyAlignment="1" applyProtection="1"/>
    <xf numFmtId="0" fontId="18" fillId="24" borderId="0" xfId="0" applyFont="1" applyFill="1" applyBorder="1" applyAlignment="1" applyProtection="1">
      <alignment horizontal="left"/>
    </xf>
    <xf numFmtId="0" fontId="43" fillId="0" borderId="332" xfId="0" applyFont="1" applyFill="1" applyBorder="1" applyAlignment="1" applyProtection="1">
      <alignment horizontal="left" vertical="center"/>
    </xf>
    <xf numFmtId="0" fontId="17" fillId="0" borderId="477" xfId="0" applyFont="1" applyFill="1" applyBorder="1" applyAlignment="1" applyProtection="1">
      <alignment horizontal="center"/>
    </xf>
    <xf numFmtId="14" fontId="59" fillId="0" borderId="78" xfId="0" applyNumberFormat="1" applyFont="1" applyFill="1" applyBorder="1" applyAlignment="1" applyProtection="1">
      <alignment horizontal="left" vertical="center"/>
    </xf>
    <xf numFmtId="165" fontId="18" fillId="0" borderId="356" xfId="0" applyNumberFormat="1" applyFont="1" applyFill="1" applyBorder="1" applyProtection="1"/>
    <xf numFmtId="166" fontId="43" fillId="0" borderId="315" xfId="0" applyNumberFormat="1" applyFont="1" applyFill="1" applyBorder="1" applyAlignment="1" applyProtection="1">
      <alignment horizontal="right" vertical="center"/>
    </xf>
    <xf numFmtId="5" fontId="43" fillId="0" borderId="316" xfId="0" applyNumberFormat="1" applyFont="1" applyFill="1" applyBorder="1" applyAlignment="1" applyProtection="1">
      <alignment horizontal="right" vertical="center"/>
    </xf>
    <xf numFmtId="5" fontId="43" fillId="0" borderId="317" xfId="0" applyNumberFormat="1" applyFont="1" applyFill="1" applyBorder="1" applyAlignment="1" applyProtection="1">
      <alignment horizontal="right" vertical="center"/>
    </xf>
    <xf numFmtId="165" fontId="18" fillId="0" borderId="357" xfId="0" applyNumberFormat="1" applyFont="1" applyFill="1" applyBorder="1" applyProtection="1"/>
    <xf numFmtId="166" fontId="43" fillId="0" borderId="37" xfId="0" applyNumberFormat="1" applyFont="1" applyFill="1" applyBorder="1" applyAlignment="1" applyProtection="1">
      <alignment horizontal="right" vertical="center"/>
    </xf>
    <xf numFmtId="5" fontId="43" fillId="0" borderId="37" xfId="0" applyNumberFormat="1" applyFont="1" applyFill="1" applyBorder="1" applyAlignment="1" applyProtection="1">
      <alignment horizontal="right" vertical="center"/>
    </xf>
    <xf numFmtId="165" fontId="18" fillId="0" borderId="358" xfId="0" applyNumberFormat="1" applyFont="1" applyFill="1" applyBorder="1" applyProtection="1"/>
    <xf numFmtId="5" fontId="43" fillId="0" borderId="323" xfId="0" applyNumberFormat="1" applyFont="1" applyFill="1" applyBorder="1" applyAlignment="1" applyProtection="1">
      <alignment horizontal="right" vertical="center"/>
    </xf>
    <xf numFmtId="5" fontId="43" fillId="0" borderId="321" xfId="0" applyNumberFormat="1" applyFont="1" applyFill="1" applyBorder="1" applyAlignment="1" applyProtection="1">
      <alignment vertical="center"/>
    </xf>
    <xf numFmtId="5" fontId="43" fillId="0" borderId="322" xfId="0" applyNumberFormat="1" applyFont="1" applyFill="1" applyBorder="1" applyAlignment="1" applyProtection="1">
      <alignment vertical="center"/>
    </xf>
    <xf numFmtId="5" fontId="43" fillId="0" borderId="329" xfId="0" applyNumberFormat="1" applyFont="1" applyFill="1" applyBorder="1" applyAlignment="1" applyProtection="1">
      <alignment vertical="center"/>
    </xf>
    <xf numFmtId="5" fontId="43" fillId="0" borderId="318" xfId="0" applyNumberFormat="1" applyFont="1" applyFill="1" applyBorder="1" applyAlignment="1" applyProtection="1">
      <alignment vertical="center"/>
    </xf>
    <xf numFmtId="5" fontId="43" fillId="0" borderId="319" xfId="0" applyNumberFormat="1" applyFont="1" applyFill="1" applyBorder="1" applyAlignment="1" applyProtection="1">
      <alignment vertical="center"/>
    </xf>
    <xf numFmtId="165" fontId="18" fillId="0" borderId="359" xfId="0" applyNumberFormat="1" applyFont="1" applyFill="1" applyBorder="1" applyProtection="1"/>
    <xf numFmtId="6" fontId="43" fillId="0" borderId="377" xfId="0" applyNumberFormat="1" applyFont="1" applyFill="1" applyBorder="1" applyAlignment="1" applyProtection="1">
      <alignment vertical="center"/>
    </xf>
    <xf numFmtId="6" fontId="43" fillId="0" borderId="378" xfId="0" applyNumberFormat="1" applyFont="1" applyFill="1" applyBorder="1" applyAlignment="1" applyProtection="1">
      <alignment vertical="center"/>
    </xf>
    <xf numFmtId="6" fontId="43" fillId="0" borderId="379" xfId="0" applyNumberFormat="1" applyFont="1" applyFill="1" applyBorder="1" applyAlignment="1" applyProtection="1">
      <alignment vertical="center"/>
    </xf>
    <xf numFmtId="165" fontId="43" fillId="0" borderId="360" xfId="0" applyNumberFormat="1" applyFont="1" applyFill="1" applyBorder="1" applyAlignment="1" applyProtection="1">
      <alignment vertical="center"/>
    </xf>
    <xf numFmtId="6" fontId="43" fillId="0" borderId="380" xfId="0" applyNumberFormat="1" applyFont="1" applyFill="1" applyBorder="1" applyAlignment="1" applyProtection="1">
      <alignment vertical="center"/>
    </xf>
    <xf numFmtId="6" fontId="43" fillId="0" borderId="381" xfId="0" applyNumberFormat="1" applyFont="1" applyFill="1" applyBorder="1" applyAlignment="1" applyProtection="1">
      <alignment vertical="center"/>
    </xf>
    <xf numFmtId="6" fontId="43" fillId="0" borderId="382" xfId="0" applyNumberFormat="1" applyFont="1" applyFill="1" applyBorder="1" applyAlignment="1" applyProtection="1">
      <alignment vertical="center"/>
    </xf>
    <xf numFmtId="165" fontId="43" fillId="0" borderId="5" xfId="0" applyNumberFormat="1" applyFont="1" applyFill="1" applyBorder="1" applyAlignment="1" applyProtection="1">
      <alignment vertical="center"/>
    </xf>
    <xf numFmtId="6" fontId="43" fillId="0" borderId="383" xfId="0" applyNumberFormat="1" applyFont="1" applyFill="1" applyBorder="1" applyAlignment="1" applyProtection="1">
      <alignment vertical="center"/>
    </xf>
    <xf numFmtId="6" fontId="43" fillId="0" borderId="384" xfId="0" applyNumberFormat="1" applyFont="1" applyFill="1" applyBorder="1" applyAlignment="1" applyProtection="1">
      <alignment vertical="center"/>
    </xf>
    <xf numFmtId="6" fontId="43" fillId="0" borderId="385" xfId="0" applyNumberFormat="1" applyFont="1" applyFill="1" applyBorder="1" applyAlignment="1" applyProtection="1">
      <alignment vertical="center"/>
    </xf>
    <xf numFmtId="6" fontId="43" fillId="0" borderId="315" xfId="0" applyNumberFormat="1" applyFont="1" applyFill="1" applyBorder="1" applyAlignment="1" applyProtection="1">
      <alignment horizontal="right" vertical="center"/>
    </xf>
    <xf numFmtId="165" fontId="43" fillId="0" borderId="361" xfId="0" applyNumberFormat="1" applyFont="1" applyFill="1" applyBorder="1" applyAlignment="1" applyProtection="1">
      <alignment vertical="center"/>
    </xf>
    <xf numFmtId="6" fontId="43" fillId="0" borderId="323" xfId="0" applyNumberFormat="1" applyFont="1" applyFill="1" applyBorder="1" applyAlignment="1" applyProtection="1">
      <alignment horizontal="right" vertical="center"/>
    </xf>
    <xf numFmtId="165" fontId="43" fillId="0" borderId="257" xfId="0" applyNumberFormat="1" applyFont="1" applyFill="1" applyBorder="1" applyAlignment="1" applyProtection="1">
      <alignment vertical="center"/>
    </xf>
    <xf numFmtId="6" fontId="43" fillId="0" borderId="320" xfId="0" applyNumberFormat="1" applyFont="1" applyFill="1" applyBorder="1" applyAlignment="1" applyProtection="1">
      <alignment horizontal="right" vertical="center"/>
    </xf>
    <xf numFmtId="6" fontId="43" fillId="0" borderId="396" xfId="0" applyNumberFormat="1" applyFont="1" applyFill="1" applyBorder="1" applyAlignment="1" applyProtection="1">
      <alignment vertical="center"/>
    </xf>
    <xf numFmtId="6" fontId="43" fillId="0" borderId="395" xfId="0" applyNumberFormat="1" applyFont="1" applyFill="1" applyBorder="1" applyAlignment="1" applyProtection="1">
      <alignment vertical="center"/>
    </xf>
    <xf numFmtId="165" fontId="43" fillId="0" borderId="362" xfId="0" applyNumberFormat="1" applyFont="1" applyFill="1" applyBorder="1" applyAlignment="1" applyProtection="1">
      <alignment vertical="center"/>
    </xf>
    <xf numFmtId="6" fontId="43" fillId="0" borderId="329" xfId="0" applyNumberFormat="1" applyFont="1" applyFill="1" applyBorder="1" applyAlignment="1" applyProtection="1">
      <alignment horizontal="right" vertical="center"/>
    </xf>
    <xf numFmtId="6" fontId="43" fillId="0" borderId="318" xfId="0" applyNumberFormat="1" applyFont="1" applyFill="1" applyBorder="1" applyAlignment="1" applyProtection="1">
      <alignment horizontal="right" vertical="center"/>
    </xf>
    <xf numFmtId="6" fontId="43" fillId="0" borderId="319" xfId="0" applyNumberFormat="1" applyFont="1" applyFill="1" applyBorder="1" applyAlignment="1" applyProtection="1">
      <alignment horizontal="right" vertical="center"/>
    </xf>
    <xf numFmtId="6" fontId="43" fillId="0" borderId="386" xfId="0" applyNumberFormat="1" applyFont="1" applyFill="1" applyBorder="1" applyAlignment="1" applyProtection="1">
      <alignment horizontal="right" vertical="center"/>
    </xf>
    <xf numFmtId="6" fontId="43" fillId="0" borderId="387" xfId="0" applyNumberFormat="1" applyFont="1" applyFill="1" applyBorder="1" applyAlignment="1" applyProtection="1">
      <alignment horizontal="right" vertical="center"/>
    </xf>
    <xf numFmtId="6" fontId="43" fillId="0" borderId="388" xfId="0" applyNumberFormat="1" applyFont="1" applyFill="1" applyBorder="1" applyAlignment="1" applyProtection="1">
      <alignment horizontal="right" vertical="center"/>
    </xf>
    <xf numFmtId="6" fontId="43" fillId="0" borderId="341" xfId="0" applyNumberFormat="1" applyFont="1" applyFill="1" applyBorder="1" applyAlignment="1" applyProtection="1">
      <alignment horizontal="right" vertical="center"/>
    </xf>
    <xf numFmtId="6" fontId="43" fillId="0" borderId="74" xfId="0" applyNumberFormat="1" applyFont="1" applyFill="1" applyBorder="1" applyAlignment="1" applyProtection="1">
      <alignment horizontal="right" vertical="center"/>
    </xf>
    <xf numFmtId="6" fontId="43" fillId="0" borderId="342" xfId="0" applyNumberFormat="1" applyFont="1" applyFill="1" applyBorder="1" applyAlignment="1" applyProtection="1">
      <alignment horizontal="right" vertical="center"/>
    </xf>
    <xf numFmtId="6" fontId="43" fillId="0" borderId="399" xfId="0" applyNumberFormat="1" applyFont="1" applyFill="1" applyBorder="1" applyAlignment="1" applyProtection="1">
      <alignment horizontal="right" vertical="center"/>
    </xf>
    <xf numFmtId="6" fontId="43" fillId="0" borderId="391" xfId="0" applyNumberFormat="1" applyFont="1" applyFill="1" applyBorder="1" applyAlignment="1" applyProtection="1">
      <alignment horizontal="right" vertical="center"/>
    </xf>
    <xf numFmtId="6" fontId="43" fillId="0" borderId="400" xfId="0" applyNumberFormat="1" applyFont="1" applyFill="1" applyBorder="1" applyAlignment="1" applyProtection="1">
      <alignment horizontal="right" vertical="center"/>
    </xf>
    <xf numFmtId="49" fontId="43" fillId="0" borderId="0" xfId="0" applyNumberFormat="1" applyFont="1" applyFill="1" applyBorder="1" applyAlignment="1" applyProtection="1">
      <alignment vertical="center"/>
    </xf>
    <xf numFmtId="49" fontId="46" fillId="0" borderId="0" xfId="0" applyNumberFormat="1" applyFont="1" applyFill="1" applyBorder="1" applyAlignment="1" applyProtection="1">
      <alignment vertical="center"/>
    </xf>
    <xf numFmtId="49" fontId="43" fillId="0" borderId="432" xfId="0" applyNumberFormat="1" applyFont="1" applyFill="1" applyBorder="1" applyAlignment="1" applyProtection="1">
      <alignment vertical="center"/>
    </xf>
    <xf numFmtId="49" fontId="43" fillId="0" borderId="338" xfId="0" applyNumberFormat="1" applyFont="1" applyFill="1" applyBorder="1" applyAlignment="1" applyProtection="1">
      <alignment vertical="center"/>
    </xf>
    <xf numFmtId="49" fontId="43" fillId="0" borderId="591" xfId="0" applyNumberFormat="1" applyFont="1" applyFill="1" applyBorder="1" applyAlignment="1" applyProtection="1">
      <alignment vertical="center"/>
    </xf>
    <xf numFmtId="6" fontId="43" fillId="0" borderId="592" xfId="0" applyNumberFormat="1" applyFont="1" applyFill="1" applyBorder="1" applyAlignment="1" applyProtection="1">
      <alignment horizontal="right" vertical="center"/>
    </xf>
    <xf numFmtId="6" fontId="43" fillId="0" borderId="593" xfId="0" applyNumberFormat="1" applyFont="1" applyFill="1" applyBorder="1" applyAlignment="1" applyProtection="1">
      <alignment horizontal="right" vertical="center"/>
    </xf>
    <xf numFmtId="6" fontId="43" fillId="0" borderId="594" xfId="0" applyNumberFormat="1" applyFont="1" applyFill="1" applyBorder="1" applyAlignment="1" applyProtection="1">
      <alignment horizontal="right" vertical="center"/>
    </xf>
    <xf numFmtId="49" fontId="43" fillId="0" borderId="97" xfId="0" applyNumberFormat="1" applyFont="1" applyFill="1" applyBorder="1" applyAlignment="1" applyProtection="1">
      <alignment vertical="center"/>
    </xf>
    <xf numFmtId="49" fontId="43" fillId="0" borderId="98" xfId="0" applyNumberFormat="1" applyFont="1" applyFill="1" applyBorder="1" applyAlignment="1" applyProtection="1">
      <alignment vertical="center"/>
    </xf>
    <xf numFmtId="49" fontId="43" fillId="0" borderId="590" xfId="0" applyNumberFormat="1" applyFont="1" applyFill="1" applyBorder="1" applyAlignment="1" applyProtection="1">
      <alignment vertical="center"/>
    </xf>
    <xf numFmtId="6" fontId="43" fillId="0" borderId="343" xfId="0" applyNumberFormat="1" applyFont="1" applyFill="1" applyBorder="1" applyAlignment="1" applyProtection="1">
      <alignment horizontal="right" vertical="center"/>
    </xf>
    <xf numFmtId="6" fontId="43" fillId="0" borderId="344" xfId="0" applyNumberFormat="1" applyFont="1" applyFill="1" applyBorder="1" applyAlignment="1" applyProtection="1">
      <alignment horizontal="right" vertical="center"/>
    </xf>
    <xf numFmtId="6" fontId="43" fillId="0" borderId="337" xfId="0" applyNumberFormat="1" applyFont="1" applyFill="1" applyBorder="1" applyAlignment="1" applyProtection="1">
      <alignment horizontal="right" vertical="center"/>
    </xf>
    <xf numFmtId="6" fontId="43" fillId="0" borderId="316" xfId="0" applyNumberFormat="1" applyFont="1" applyFill="1" applyBorder="1" applyAlignment="1" applyProtection="1">
      <alignment horizontal="right" vertical="center"/>
    </xf>
    <xf numFmtId="6" fontId="43" fillId="0" borderId="317" xfId="0" applyNumberFormat="1" applyFont="1" applyFill="1" applyBorder="1" applyAlignment="1" applyProtection="1">
      <alignment horizontal="right" vertical="center"/>
    </xf>
    <xf numFmtId="6" fontId="43" fillId="0" borderId="320" xfId="0" applyNumberFormat="1" applyFont="1" applyFill="1" applyBorder="1" applyAlignment="1" applyProtection="1">
      <alignment vertical="center"/>
    </xf>
    <xf numFmtId="6" fontId="43" fillId="0" borderId="321" xfId="0" applyNumberFormat="1" applyFont="1" applyFill="1" applyBorder="1" applyAlignment="1" applyProtection="1">
      <alignment vertical="center"/>
    </xf>
    <xf numFmtId="6" fontId="43" fillId="0" borderId="322" xfId="0" applyNumberFormat="1" applyFont="1" applyFill="1" applyBorder="1" applyAlignment="1" applyProtection="1">
      <alignment vertical="center"/>
    </xf>
    <xf numFmtId="6" fontId="43" fillId="0" borderId="329" xfId="0" quotePrefix="1" applyNumberFormat="1" applyFont="1" applyFill="1" applyBorder="1" applyAlignment="1" applyProtection="1">
      <alignment horizontal="right" vertical="center"/>
    </xf>
    <xf numFmtId="6" fontId="43" fillId="0" borderId="318" xfId="0" applyNumberFormat="1" applyFont="1" applyFill="1" applyBorder="1" applyAlignment="1" applyProtection="1">
      <alignment vertical="center"/>
    </xf>
    <xf numFmtId="6" fontId="43" fillId="0" borderId="319" xfId="0" applyNumberFormat="1" applyFont="1" applyFill="1" applyBorder="1" applyAlignment="1" applyProtection="1">
      <alignment vertical="center"/>
    </xf>
    <xf numFmtId="6" fontId="43" fillId="0" borderId="321" xfId="0" applyNumberFormat="1" applyFont="1" applyFill="1" applyBorder="1" applyAlignment="1" applyProtection="1">
      <alignment horizontal="right" vertical="center"/>
    </xf>
    <xf numFmtId="6" fontId="43" fillId="0" borderId="322" xfId="0" applyNumberFormat="1" applyFont="1" applyFill="1" applyBorder="1" applyAlignment="1" applyProtection="1">
      <alignment horizontal="right" vertical="center"/>
    </xf>
    <xf numFmtId="6" fontId="43" fillId="0" borderId="260" xfId="0" applyNumberFormat="1" applyFont="1" applyFill="1" applyBorder="1" applyAlignment="1" applyProtection="1">
      <alignment vertical="center"/>
    </xf>
    <xf numFmtId="6" fontId="43" fillId="0" borderId="312" xfId="0" applyNumberFormat="1" applyFont="1" applyFill="1" applyBorder="1" applyAlignment="1" applyProtection="1">
      <alignment vertical="center"/>
    </xf>
    <xf numFmtId="6" fontId="43" fillId="0" borderId="47" xfId="0" applyNumberFormat="1" applyFont="1" applyFill="1" applyBorder="1" applyAlignment="1" applyProtection="1">
      <alignment vertical="center"/>
    </xf>
    <xf numFmtId="6" fontId="43" fillId="0" borderId="38" xfId="0" applyNumberFormat="1" applyFont="1" applyFill="1" applyBorder="1" applyAlignment="1" applyProtection="1">
      <alignment vertical="center"/>
    </xf>
    <xf numFmtId="6" fontId="43" fillId="0" borderId="51" xfId="0" applyNumberFormat="1" applyFont="1" applyFill="1" applyBorder="1" applyAlignment="1" applyProtection="1">
      <alignment vertical="center"/>
    </xf>
    <xf numFmtId="6" fontId="43" fillId="0" borderId="53"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6" fontId="43" fillId="0" borderId="595" xfId="0" applyNumberFormat="1" applyFont="1" applyFill="1" applyBorder="1" applyAlignment="1" applyProtection="1">
      <alignment vertical="center"/>
    </xf>
    <xf numFmtId="6" fontId="43" fillId="0" borderId="596" xfId="0" applyNumberFormat="1" applyFont="1" applyFill="1" applyBorder="1" applyAlignment="1" applyProtection="1">
      <alignment vertical="center"/>
    </xf>
    <xf numFmtId="6" fontId="43" fillId="0" borderId="589" xfId="0" applyNumberFormat="1" applyFont="1" applyFill="1" applyBorder="1" applyAlignment="1" applyProtection="1">
      <alignment vertical="center"/>
    </xf>
    <xf numFmtId="6" fontId="43" fillId="0" borderId="155" xfId="0" applyNumberFormat="1" applyFont="1" applyFill="1" applyBorder="1" applyAlignment="1" applyProtection="1">
      <alignment vertical="center"/>
    </xf>
    <xf numFmtId="0" fontId="43" fillId="0" borderId="597" xfId="0" applyFont="1" applyFill="1" applyBorder="1" applyAlignment="1" applyProtection="1">
      <alignment horizontal="left" vertical="center" indent="1"/>
    </xf>
    <xf numFmtId="0" fontId="46" fillId="0" borderId="597" xfId="0" applyFont="1" applyFill="1" applyBorder="1" applyAlignment="1" applyProtection="1">
      <alignment vertical="center"/>
    </xf>
    <xf numFmtId="0" fontId="18" fillId="0" borderId="597" xfId="0" applyFont="1" applyFill="1" applyBorder="1" applyProtection="1"/>
    <xf numFmtId="166" fontId="43" fillId="0" borderId="37" xfId="0" applyNumberFormat="1" applyFont="1" applyFill="1" applyBorder="1" applyAlignment="1" applyProtection="1">
      <alignment vertical="center"/>
    </xf>
    <xf numFmtId="6" fontId="43" fillId="0" borderId="338" xfId="0" applyNumberFormat="1" applyFont="1" applyFill="1" applyBorder="1" applyAlignment="1" applyProtection="1">
      <alignment horizontal="right" vertical="center"/>
    </xf>
    <xf numFmtId="6" fontId="43" fillId="0" borderId="461" xfId="0" applyNumberFormat="1" applyFont="1" applyFill="1" applyBorder="1" applyAlignment="1" applyProtection="1">
      <alignment horizontal="right" vertical="center"/>
    </xf>
    <xf numFmtId="6" fontId="43" fillId="0" borderId="588" xfId="0" applyNumberFormat="1" applyFont="1" applyFill="1" applyBorder="1" applyAlignment="1" applyProtection="1">
      <alignment horizontal="right" vertical="center"/>
    </xf>
    <xf numFmtId="6" fontId="43" fillId="0" borderId="316" xfId="0" applyNumberFormat="1" applyFont="1" applyFill="1" applyBorder="1" applyAlignment="1" applyProtection="1">
      <alignment vertical="center"/>
    </xf>
    <xf numFmtId="6" fontId="43" fillId="0" borderId="317" xfId="0" applyNumberFormat="1" applyFont="1" applyFill="1" applyBorder="1" applyAlignment="1" applyProtection="1">
      <alignment vertical="center"/>
    </xf>
    <xf numFmtId="6" fontId="43" fillId="0" borderId="338" xfId="0" applyNumberFormat="1" applyFont="1" applyFill="1" applyBorder="1" applyAlignment="1" applyProtection="1">
      <alignment vertical="center"/>
    </xf>
    <xf numFmtId="6" fontId="43" fillId="0" borderId="461" xfId="0" applyNumberFormat="1" applyFont="1" applyFill="1" applyBorder="1" applyAlignment="1" applyProtection="1">
      <alignment vertical="center"/>
    </xf>
    <xf numFmtId="42" fontId="25" fillId="0" borderId="222" xfId="0" applyNumberFormat="1" applyFont="1" applyFill="1" applyBorder="1" applyAlignment="1" applyProtection="1">
      <alignment vertical="center"/>
    </xf>
    <xf numFmtId="42" fontId="25" fillId="0" borderId="234" xfId="0" applyNumberFormat="1" applyFont="1" applyFill="1" applyBorder="1" applyAlignment="1" applyProtection="1">
      <alignment vertical="center"/>
    </xf>
    <xf numFmtId="42" fontId="25" fillId="0" borderId="450" xfId="0" applyNumberFormat="1" applyFont="1" applyFill="1" applyBorder="1" applyAlignment="1" applyProtection="1">
      <alignment vertical="center"/>
    </xf>
    <xf numFmtId="42" fontId="25" fillId="0" borderId="488" xfId="0" applyNumberFormat="1" applyFont="1" applyFill="1" applyBorder="1" applyAlignment="1" applyProtection="1">
      <alignment vertical="center"/>
    </xf>
    <xf numFmtId="42" fontId="25" fillId="0" borderId="62" xfId="0" applyNumberFormat="1" applyFont="1" applyFill="1" applyBorder="1" applyAlignment="1" applyProtection="1">
      <alignment vertical="center"/>
    </xf>
    <xf numFmtId="42" fontId="25" fillId="0" borderId="76" xfId="0" applyNumberFormat="1" applyFont="1" applyFill="1" applyBorder="1" applyAlignment="1" applyProtection="1">
      <alignment vertical="center"/>
    </xf>
    <xf numFmtId="42" fontId="25" fillId="0" borderId="121" xfId="0" applyNumberFormat="1" applyFont="1" applyFill="1" applyBorder="1" applyAlignment="1" applyProtection="1">
      <alignment vertical="center"/>
    </xf>
    <xf numFmtId="42" fontId="25" fillId="0" borderId="67" xfId="0" applyNumberFormat="1" applyFont="1" applyFill="1" applyBorder="1" applyAlignment="1" applyProtection="1">
      <alignment vertical="center"/>
    </xf>
    <xf numFmtId="42" fontId="25" fillId="0" borderId="64" xfId="0" applyNumberFormat="1" applyFont="1" applyFill="1" applyBorder="1" applyAlignment="1" applyProtection="1">
      <alignment vertical="center" wrapText="1"/>
    </xf>
    <xf numFmtId="42" fontId="25" fillId="0" borderId="123" xfId="0" applyNumberFormat="1" applyFont="1" applyFill="1" applyBorder="1" applyAlignment="1" applyProtection="1">
      <alignment vertical="center" wrapText="1"/>
    </xf>
    <xf numFmtId="42" fontId="25" fillId="0" borderId="135" xfId="0" applyNumberFormat="1" applyFont="1" applyFill="1" applyBorder="1" applyAlignment="1" applyProtection="1">
      <alignment vertical="center" wrapText="1"/>
    </xf>
    <xf numFmtId="42" fontId="25" fillId="0" borderId="137" xfId="0" applyNumberFormat="1" applyFont="1" applyFill="1" applyBorder="1" applyAlignment="1" applyProtection="1">
      <alignment vertical="center" wrapText="1"/>
    </xf>
    <xf numFmtId="42" fontId="25" fillId="0" borderId="238" xfId="0" applyNumberFormat="1" applyFont="1" applyFill="1" applyBorder="1" applyAlignment="1" applyProtection="1">
      <alignment vertical="center"/>
    </xf>
    <xf numFmtId="42" fontId="25" fillId="0" borderId="236" xfId="0" applyNumberFormat="1" applyFont="1" applyFill="1" applyBorder="1" applyAlignment="1" applyProtection="1">
      <alignment vertical="center"/>
    </xf>
    <xf numFmtId="42" fontId="25" fillId="0" borderId="104" xfId="0" applyNumberFormat="1" applyFont="1" applyFill="1" applyBorder="1" applyAlignment="1" applyProtection="1">
      <alignment vertical="center"/>
    </xf>
    <xf numFmtId="42" fontId="25" fillId="0" borderId="135" xfId="0" applyNumberFormat="1" applyFont="1" applyFill="1" applyBorder="1" applyAlignment="1" applyProtection="1">
      <alignment vertical="center"/>
    </xf>
    <xf numFmtId="42" fontId="25" fillId="0" borderId="124" xfId="0" applyNumberFormat="1" applyFont="1" applyFill="1" applyBorder="1" applyAlignment="1" applyProtection="1">
      <alignment vertical="center"/>
    </xf>
    <xf numFmtId="42" fontId="25" fillId="0" borderId="137" xfId="0" applyNumberFormat="1" applyFont="1" applyFill="1" applyBorder="1" applyAlignment="1" applyProtection="1">
      <alignment vertical="center"/>
    </xf>
    <xf numFmtId="42" fontId="25" fillId="0" borderId="121" xfId="0" applyNumberFormat="1" applyFont="1" applyFill="1" applyBorder="1" applyAlignment="1" applyProtection="1">
      <alignment vertical="center" wrapText="1"/>
    </xf>
    <xf numFmtId="42" fontId="25" fillId="0" borderId="104" xfId="0" applyNumberFormat="1" applyFont="1" applyFill="1" applyBorder="1" applyAlignment="1" applyProtection="1">
      <alignment vertical="center" wrapText="1"/>
    </xf>
    <xf numFmtId="42" fontId="25" fillId="0" borderId="67" xfId="0" applyNumberFormat="1" applyFont="1" applyFill="1" applyBorder="1" applyAlignment="1" applyProtection="1">
      <alignment vertical="center" wrapText="1"/>
    </xf>
    <xf numFmtId="42" fontId="25" fillId="0" borderId="124" xfId="0" applyNumberFormat="1" applyFont="1" applyFill="1" applyBorder="1" applyAlignment="1" applyProtection="1">
      <alignment vertical="center" wrapText="1"/>
    </xf>
    <xf numFmtId="0" fontId="19" fillId="0" borderId="0" xfId="0" applyFont="1" applyFill="1" applyBorder="1" applyAlignment="1" applyProtection="1"/>
    <xf numFmtId="0" fontId="18" fillId="0" borderId="0" xfId="0" applyFont="1" applyFill="1" applyBorder="1" applyAlignment="1" applyProtection="1"/>
    <xf numFmtId="0" fontId="17" fillId="6" borderId="6" xfId="0" applyFont="1" applyFill="1" applyBorder="1" applyAlignment="1" applyProtection="1"/>
    <xf numFmtId="0" fontId="46" fillId="0" borderId="0" xfId="0" applyFont="1" applyFill="1" applyBorder="1" applyAlignment="1" applyProtection="1"/>
    <xf numFmtId="0" fontId="18" fillId="0" borderId="81" xfId="0" applyFont="1" applyFill="1" applyBorder="1" applyAlignment="1" applyProtection="1">
      <protection locked="0"/>
    </xf>
    <xf numFmtId="0" fontId="18" fillId="0" borderId="87" xfId="0" applyFont="1" applyFill="1" applyBorder="1" applyAlignment="1" applyProtection="1">
      <protection locked="0"/>
    </xf>
    <xf numFmtId="0" fontId="18" fillId="18" borderId="287" xfId="0" applyFont="1" applyFill="1" applyBorder="1" applyAlignment="1" applyProtection="1">
      <alignment wrapText="1"/>
    </xf>
    <xf numFmtId="0" fontId="18" fillId="18" borderId="447" xfId="0" applyFont="1" applyFill="1" applyBorder="1" applyAlignment="1" applyProtection="1">
      <alignment wrapText="1"/>
    </xf>
    <xf numFmtId="0" fontId="18" fillId="6" borderId="6" xfId="0" applyFont="1" applyFill="1" applyBorder="1" applyAlignment="1" applyProtection="1"/>
    <xf numFmtId="0" fontId="0" fillId="0" borderId="0" xfId="0" applyFont="1" applyFill="1" applyBorder="1" applyProtection="1"/>
    <xf numFmtId="0" fontId="18" fillId="0" borderId="0" xfId="0" applyFont="1" applyFill="1" applyBorder="1" applyAlignment="1" applyProtection="1">
      <alignment horizontal="left"/>
    </xf>
    <xf numFmtId="0" fontId="0" fillId="5" borderId="66" xfId="0" applyFont="1" applyFill="1" applyBorder="1" applyAlignment="1" applyProtection="1">
      <protection locked="0"/>
    </xf>
    <xf numFmtId="0" fontId="11" fillId="18" borderId="482" xfId="0" applyFont="1" applyFill="1" applyBorder="1" applyAlignment="1" applyProtection="1">
      <alignment vertical="center" wrapText="1"/>
    </xf>
    <xf numFmtId="14" fontId="3" fillId="0" borderId="78" xfId="0" applyNumberFormat="1" applyFont="1" applyBorder="1" applyProtection="1">
      <protection locked="0"/>
    </xf>
    <xf numFmtId="0" fontId="22" fillId="18" borderId="482" xfId="0" applyFont="1" applyFill="1" applyBorder="1" applyAlignment="1" applyProtection="1"/>
    <xf numFmtId="0" fontId="22" fillId="18" borderId="483" xfId="0" applyFont="1" applyFill="1" applyBorder="1" applyAlignment="1" applyProtection="1">
      <alignment wrapText="1"/>
    </xf>
    <xf numFmtId="0" fontId="22" fillId="18" borderId="482" xfId="0" applyFont="1" applyFill="1" applyBorder="1" applyAlignment="1" applyProtection="1">
      <alignment wrapText="1"/>
    </xf>
    <xf numFmtId="44" fontId="18" fillId="6" borderId="259" xfId="0" applyNumberFormat="1" applyFont="1" applyFill="1" applyBorder="1" applyAlignment="1" applyProtection="1"/>
    <xf numFmtId="44" fontId="18" fillId="0" borderId="0" xfId="0" applyNumberFormat="1" applyFont="1" applyFill="1" applyBorder="1" applyAlignment="1" applyProtection="1"/>
    <xf numFmtId="44" fontId="18" fillId="18" borderId="452" xfId="0" applyNumberFormat="1" applyFont="1" applyFill="1" applyBorder="1" applyAlignment="1" applyProtection="1">
      <alignment horizontal="left"/>
    </xf>
    <xf numFmtId="44" fontId="18" fillId="6" borderId="38" xfId="0" applyNumberFormat="1" applyFont="1" applyFill="1" applyBorder="1" applyAlignment="1" applyProtection="1"/>
    <xf numFmtId="0" fontId="30" fillId="0" borderId="0" xfId="0" applyFont="1" applyFill="1" applyBorder="1" applyAlignment="1" applyProtection="1"/>
    <xf numFmtId="44" fontId="22" fillId="6" borderId="312" xfId="0" applyNumberFormat="1" applyFont="1" applyFill="1" applyBorder="1" applyAlignment="1" applyProtection="1"/>
    <xf numFmtId="44" fontId="22" fillId="6" borderId="38" xfId="0" applyNumberFormat="1" applyFont="1" applyFill="1" applyBorder="1" applyAlignment="1" applyProtection="1"/>
    <xf numFmtId="169" fontId="109" fillId="0" borderId="0" xfId="0" applyNumberFormat="1" applyFont="1" applyProtection="1">
      <protection locked="0"/>
    </xf>
    <xf numFmtId="44" fontId="18" fillId="0" borderId="95" xfId="0" applyNumberFormat="1" applyFont="1" applyFill="1" applyBorder="1" applyAlignment="1" applyProtection="1">
      <alignment vertical="center"/>
    </xf>
    <xf numFmtId="44" fontId="18" fillId="0" borderId="440" xfId="0" applyNumberFormat="1" applyFont="1" applyFill="1" applyBorder="1" applyAlignment="1" applyProtection="1"/>
    <xf numFmtId="44" fontId="18" fillId="0" borderId="81" xfId="0" applyNumberFormat="1" applyFont="1" applyFill="1" applyBorder="1" applyAlignment="1" applyProtection="1">
      <alignment vertical="center"/>
    </xf>
    <xf numFmtId="44" fontId="18" fillId="0" borderId="403" xfId="0" applyNumberFormat="1" applyFont="1" applyFill="1" applyBorder="1" applyAlignment="1" applyProtection="1"/>
    <xf numFmtId="44" fontId="18" fillId="0" borderId="88" xfId="0" applyNumberFormat="1" applyFont="1" applyFill="1" applyBorder="1" applyAlignment="1" applyProtection="1">
      <alignment vertical="center"/>
    </xf>
    <xf numFmtId="44" fontId="18" fillId="0" borderId="419" xfId="0" applyNumberFormat="1" applyFont="1" applyFill="1" applyBorder="1" applyAlignment="1" applyProtection="1"/>
    <xf numFmtId="44" fontId="18" fillId="0" borderId="453" xfId="0" applyNumberFormat="1" applyFont="1" applyFill="1" applyBorder="1" applyAlignment="1" applyProtection="1"/>
    <xf numFmtId="44" fontId="18" fillId="0" borderId="244" xfId="0" applyNumberFormat="1" applyFont="1" applyFill="1" applyBorder="1" applyAlignment="1" applyProtection="1"/>
    <xf numFmtId="44" fontId="18" fillId="0" borderId="81" xfId="0" applyNumberFormat="1" applyFont="1" applyFill="1" applyBorder="1" applyAlignment="1" applyProtection="1"/>
    <xf numFmtId="44" fontId="18" fillId="0" borderId="88" xfId="0" applyNumberFormat="1" applyFont="1" applyFill="1" applyBorder="1" applyAlignment="1" applyProtection="1"/>
    <xf numFmtId="0" fontId="0" fillId="0" borderId="0" xfId="0" applyFill="1" applyProtection="1"/>
    <xf numFmtId="44" fontId="18" fillId="0" borderId="95" xfId="0" applyNumberFormat="1" applyFont="1" applyFill="1" applyBorder="1" applyAlignment="1" applyProtection="1"/>
    <xf numFmtId="44" fontId="22" fillId="0" borderId="0" xfId="0" applyNumberFormat="1" applyFont="1" applyFill="1" applyBorder="1" applyAlignment="1" applyProtection="1"/>
    <xf numFmtId="0" fontId="18" fillId="24" borderId="0" xfId="0" applyFont="1" applyFill="1" applyBorder="1" applyAlignment="1" applyProtection="1"/>
    <xf numFmtId="0" fontId="17" fillId="24" borderId="0" xfId="0" applyFont="1" applyFill="1" applyBorder="1" applyAlignment="1" applyProtection="1">
      <alignment horizontal="left"/>
    </xf>
    <xf numFmtId="0" fontId="22" fillId="24" borderId="0" xfId="0" applyFont="1" applyFill="1" applyBorder="1" applyAlignment="1" applyProtection="1">
      <alignment wrapText="1"/>
    </xf>
    <xf numFmtId="44" fontId="18" fillId="24" borderId="0" xfId="0" applyNumberFormat="1" applyFont="1" applyFill="1" applyBorder="1" applyAlignment="1" applyProtection="1"/>
    <xf numFmtId="44" fontId="22" fillId="24" borderId="0" xfId="0" applyNumberFormat="1" applyFont="1" applyFill="1" applyBorder="1" applyAlignment="1" applyProtection="1"/>
    <xf numFmtId="5" fontId="18" fillId="24" borderId="0" xfId="0" applyNumberFormat="1" applyFont="1" applyFill="1" applyBorder="1" applyAlignment="1" applyProtection="1">
      <alignment horizontal="left"/>
    </xf>
    <xf numFmtId="0" fontId="43" fillId="24" borderId="0" xfId="0" applyFont="1" applyFill="1" applyBorder="1" applyAlignment="1" applyProtection="1"/>
    <xf numFmtId="44" fontId="18" fillId="24" borderId="0" xfId="0" applyNumberFormat="1" applyFont="1" applyFill="1" applyBorder="1" applyAlignment="1" applyProtection="1">
      <alignment horizontal="left"/>
    </xf>
    <xf numFmtId="0" fontId="0" fillId="24" borderId="0" xfId="0" applyFill="1" applyProtection="1"/>
    <xf numFmtId="0" fontId="19" fillId="24" borderId="0" xfId="0" applyFont="1" applyFill="1" applyBorder="1" applyAlignment="1" applyProtection="1"/>
    <xf numFmtId="0" fontId="17" fillId="24" borderId="0" xfId="0" applyFont="1" applyFill="1" applyBorder="1" applyAlignment="1" applyProtection="1"/>
    <xf numFmtId="44" fontId="18" fillId="6" borderId="459" xfId="0" applyNumberFormat="1" applyFont="1" applyFill="1" applyBorder="1" applyAlignment="1" applyProtection="1"/>
    <xf numFmtId="44" fontId="22" fillId="6" borderId="53" xfId="0" applyNumberFormat="1" applyFont="1" applyFill="1" applyBorder="1" applyAlignment="1" applyProtection="1"/>
    <xf numFmtId="44" fontId="22" fillId="6" borderId="147" xfId="0" applyNumberFormat="1" applyFont="1" applyFill="1" applyBorder="1" applyAlignment="1" applyProtection="1"/>
    <xf numFmtId="44" fontId="22" fillId="6" borderId="359" xfId="0" applyNumberFormat="1" applyFont="1" applyFill="1" applyBorder="1" applyAlignment="1" applyProtection="1"/>
    <xf numFmtId="166" fontId="43" fillId="6" borderId="315" xfId="0" applyNumberFormat="1" applyFont="1" applyFill="1" applyBorder="1" applyAlignment="1" applyProtection="1">
      <alignment horizontal="right" vertical="center"/>
    </xf>
    <xf numFmtId="166" fontId="43" fillId="6" borderId="37" xfId="0" applyNumberFormat="1" applyFont="1" applyFill="1" applyBorder="1" applyAlignment="1" applyProtection="1">
      <alignment vertical="center"/>
    </xf>
    <xf numFmtId="166" fontId="43" fillId="6" borderId="37" xfId="0" applyNumberFormat="1" applyFont="1" applyFill="1" applyBorder="1" applyAlignment="1" applyProtection="1">
      <alignment horizontal="right" vertical="center"/>
    </xf>
    <xf numFmtId="5" fontId="43" fillId="6" borderId="37" xfId="0" applyNumberFormat="1" applyFont="1" applyFill="1" applyBorder="1" applyAlignment="1" applyProtection="1">
      <alignment horizontal="right" vertical="center"/>
    </xf>
    <xf numFmtId="6" fontId="43" fillId="6" borderId="320" xfId="0" applyNumberFormat="1" applyFont="1" applyFill="1" applyBorder="1" applyAlignment="1" applyProtection="1">
      <alignment horizontal="right" vertical="center"/>
      <protection locked="0"/>
    </xf>
    <xf numFmtId="6" fontId="43" fillId="6" borderId="320" xfId="0" applyNumberFormat="1" applyFont="1" applyFill="1" applyBorder="1" applyAlignment="1" applyProtection="1">
      <alignment horizontal="right" vertical="center"/>
    </xf>
    <xf numFmtId="0" fontId="6" fillId="2" borderId="471" xfId="0" applyNumberFormat="1" applyFont="1" applyFill="1" applyBorder="1" applyAlignment="1" applyProtection="1">
      <alignment vertical="center"/>
    </xf>
    <xf numFmtId="14" fontId="3" fillId="0" borderId="78" xfId="0" applyNumberFormat="1" applyFont="1" applyBorder="1" applyProtection="1"/>
    <xf numFmtId="10" fontId="58" fillId="0" borderId="158" xfId="0" applyNumberFormat="1" applyFont="1" applyFill="1" applyBorder="1" applyProtection="1"/>
    <xf numFmtId="10" fontId="58" fillId="0" borderId="137" xfId="0" applyNumberFormat="1" applyFont="1" applyFill="1" applyBorder="1" applyProtection="1">
      <protection locked="0"/>
    </xf>
    <xf numFmtId="9" fontId="58" fillId="0" borderId="108" xfId="0" applyNumberFormat="1" applyFont="1" applyFill="1" applyBorder="1" applyProtection="1">
      <protection locked="0"/>
    </xf>
    <xf numFmtId="9" fontId="58" fillId="0" borderId="160" xfId="0" applyNumberFormat="1" applyFont="1" applyFill="1" applyBorder="1" applyProtection="1">
      <protection locked="0"/>
    </xf>
    <xf numFmtId="0" fontId="58" fillId="0" borderId="477" xfId="0" applyFont="1" applyFill="1" applyBorder="1" applyAlignment="1" applyProtection="1">
      <alignment horizontal="center" vertical="center"/>
      <protection locked="0"/>
    </xf>
    <xf numFmtId="0" fontId="58" fillId="6" borderId="285" xfId="0" applyFont="1" applyFill="1" applyBorder="1" applyProtection="1"/>
    <xf numFmtId="10" fontId="58" fillId="0" borderId="158" xfId="0" applyNumberFormat="1" applyFont="1" applyFill="1" applyBorder="1" applyProtection="1">
      <protection locked="0"/>
    </xf>
    <xf numFmtId="6" fontId="22" fillId="6" borderId="147" xfId="0" applyNumberFormat="1" applyFont="1" applyFill="1" applyBorder="1" applyAlignment="1" applyProtection="1"/>
    <xf numFmtId="3" fontId="19" fillId="0" borderId="551" xfId="0" applyNumberFormat="1" applyFont="1" applyFill="1" applyBorder="1" applyAlignment="1" applyProtection="1">
      <alignment horizontal="center" vertical="center"/>
      <protection locked="0"/>
    </xf>
    <xf numFmtId="3" fontId="19" fillId="0" borderId="553" xfId="0" applyNumberFormat="1" applyFont="1" applyFill="1" applyBorder="1" applyAlignment="1" applyProtection="1">
      <alignment horizontal="center" vertical="center"/>
      <protection locked="0"/>
    </xf>
    <xf numFmtId="3" fontId="19" fillId="0" borderId="142" xfId="0" applyNumberFormat="1" applyFont="1" applyFill="1" applyBorder="1" applyAlignment="1" applyProtection="1">
      <alignment horizontal="center" vertical="center"/>
      <protection locked="0"/>
    </xf>
    <xf numFmtId="3" fontId="17" fillId="0" borderId="143" xfId="0" applyNumberFormat="1" applyFont="1" applyFill="1" applyBorder="1" applyAlignment="1" applyProtection="1">
      <alignment horizontal="center" vertical="center"/>
      <protection locked="0"/>
    </xf>
    <xf numFmtId="17" fontId="3" fillId="0" borderId="106" xfId="0" applyNumberFormat="1" applyFont="1" applyBorder="1" applyAlignment="1" applyProtection="1">
      <alignment vertical="center"/>
      <protection locked="0"/>
    </xf>
    <xf numFmtId="17" fontId="3" fillId="0" borderId="104" xfId="0" applyNumberFormat="1" applyFont="1" applyBorder="1" applyAlignment="1" applyProtection="1">
      <alignment vertical="center"/>
      <protection locked="0"/>
    </xf>
    <xf numFmtId="17" fontId="3" fillId="0" borderId="104" xfId="0" applyNumberFormat="1" applyFont="1" applyFill="1" applyBorder="1" applyAlignment="1" applyProtection="1">
      <alignment vertical="center"/>
      <protection locked="0"/>
    </xf>
    <xf numFmtId="17" fontId="3" fillId="0" borderId="480" xfId="0" applyNumberFormat="1" applyFont="1" applyBorder="1" applyAlignment="1" applyProtection="1">
      <alignment vertical="center"/>
      <protection locked="0"/>
    </xf>
    <xf numFmtId="0" fontId="5" fillId="0" borderId="488" xfId="0" applyFont="1" applyBorder="1" applyAlignment="1" applyProtection="1">
      <alignment vertical="center" wrapText="1"/>
      <protection locked="0"/>
    </xf>
    <xf numFmtId="2" fontId="43" fillId="6" borderId="401" xfId="0" applyNumberFormat="1" applyFont="1" applyFill="1" applyBorder="1" applyAlignment="1" applyProtection="1">
      <alignment horizontal="right" vertical="center"/>
    </xf>
    <xf numFmtId="2" fontId="43" fillId="6" borderId="402" xfId="0" applyNumberFormat="1" applyFont="1" applyFill="1" applyBorder="1" applyAlignment="1" applyProtection="1">
      <alignment horizontal="right" vertical="center"/>
    </xf>
    <xf numFmtId="2" fontId="43" fillId="6" borderId="273" xfId="0" applyNumberFormat="1" applyFont="1" applyFill="1" applyBorder="1" applyAlignment="1" applyProtection="1">
      <alignment horizontal="right" vertical="center"/>
    </xf>
    <xf numFmtId="2" fontId="43" fillId="6" borderId="274" xfId="0" applyNumberFormat="1" applyFont="1" applyFill="1" applyBorder="1" applyAlignment="1" applyProtection="1">
      <alignment horizontal="right" vertical="center"/>
    </xf>
    <xf numFmtId="2" fontId="43" fillId="6" borderId="275" xfId="0" applyNumberFormat="1" applyFont="1" applyFill="1" applyBorder="1" applyAlignment="1" applyProtection="1">
      <alignment horizontal="right" vertical="center"/>
    </xf>
    <xf numFmtId="2" fontId="43" fillId="6" borderId="403" xfId="0" applyNumberFormat="1" applyFont="1" applyFill="1" applyBorder="1" applyAlignment="1" applyProtection="1">
      <alignment horizontal="right" vertical="center"/>
    </xf>
    <xf numFmtId="15" fontId="18" fillId="0" borderId="78" xfId="0" applyNumberFormat="1" applyFont="1" applyBorder="1" applyProtection="1">
      <protection locked="0"/>
    </xf>
    <xf numFmtId="44" fontId="18" fillId="0" borderId="97" xfId="0" applyNumberFormat="1" applyFont="1" applyFill="1" applyBorder="1" applyAlignment="1" applyProtection="1">
      <protection locked="0"/>
    </xf>
    <xf numFmtId="44" fontId="18" fillId="0" borderId="599" xfId="0" applyNumberFormat="1" applyFont="1" applyFill="1" applyBorder="1" applyAlignment="1" applyProtection="1">
      <protection locked="0"/>
    </xf>
    <xf numFmtId="166" fontId="18" fillId="0" borderId="97" xfId="0" applyNumberFormat="1" applyFont="1" applyFill="1" applyBorder="1" applyAlignment="1" applyProtection="1">
      <protection locked="0"/>
    </xf>
    <xf numFmtId="166" fontId="18" fillId="0" borderId="599" xfId="0" applyNumberFormat="1" applyFont="1" applyFill="1" applyBorder="1" applyAlignment="1" applyProtection="1">
      <protection locked="0"/>
    </xf>
    <xf numFmtId="0" fontId="18" fillId="0" borderId="600" xfId="0" applyFont="1" applyFill="1" applyBorder="1" applyAlignment="1" applyProtection="1">
      <protection locked="0"/>
    </xf>
    <xf numFmtId="0" fontId="18" fillId="0" borderId="601" xfId="0" applyFont="1" applyFill="1" applyBorder="1" applyAlignment="1" applyProtection="1">
      <protection locked="0"/>
    </xf>
    <xf numFmtId="9" fontId="18" fillId="0" borderId="602" xfId="0" applyNumberFormat="1" applyFont="1" applyFill="1" applyBorder="1" applyAlignment="1" applyProtection="1">
      <protection locked="0"/>
    </xf>
    <xf numFmtId="0" fontId="18" fillId="0" borderId="603" xfId="0" applyFont="1" applyFill="1" applyBorder="1" applyAlignment="1" applyProtection="1">
      <protection locked="0"/>
    </xf>
    <xf numFmtId="42" fontId="25" fillId="0" borderId="480" xfId="0" applyNumberFormat="1" applyFont="1" applyFill="1" applyBorder="1" applyAlignment="1" applyProtection="1">
      <alignment vertical="center"/>
      <protection locked="0"/>
    </xf>
    <xf numFmtId="169" fontId="25" fillId="6" borderId="112" xfId="0" applyNumberFormat="1" applyFont="1" applyFill="1" applyBorder="1" applyAlignment="1" applyProtection="1">
      <alignment vertical="center"/>
    </xf>
    <xf numFmtId="169" fontId="25" fillId="12" borderId="250" xfId="0" applyNumberFormat="1" applyFont="1" applyFill="1" applyBorder="1" applyAlignment="1" applyProtection="1">
      <alignment vertical="center"/>
    </xf>
    <xf numFmtId="169" fontId="25" fillId="12" borderId="241" xfId="0" applyNumberFormat="1" applyFont="1" applyFill="1" applyBorder="1" applyAlignment="1" applyProtection="1">
      <alignment vertical="center"/>
    </xf>
    <xf numFmtId="14" fontId="18" fillId="0" borderId="282" xfId="0" applyNumberFormat="1" applyFont="1" applyFill="1" applyBorder="1" applyAlignment="1" applyProtection="1">
      <protection locked="0"/>
    </xf>
    <xf numFmtId="14" fontId="18" fillId="0" borderId="563" xfId="0" applyNumberFormat="1" applyFont="1" applyFill="1" applyBorder="1" applyAlignment="1" applyProtection="1">
      <protection locked="0"/>
    </xf>
    <xf numFmtId="14" fontId="18" fillId="0" borderId="126" xfId="0" applyNumberFormat="1" applyFont="1" applyFill="1" applyBorder="1" applyAlignment="1" applyProtection="1">
      <protection locked="0"/>
    </xf>
    <xf numFmtId="9" fontId="18" fillId="0" borderId="570" xfId="0" applyNumberFormat="1" applyFont="1" applyFill="1" applyBorder="1" applyAlignment="1" applyProtection="1">
      <protection locked="0"/>
    </xf>
    <xf numFmtId="9" fontId="18" fillId="0" borderId="569" xfId="0" applyNumberFormat="1" applyFont="1" applyFill="1" applyBorder="1" applyAlignment="1" applyProtection="1">
      <protection locked="0"/>
    </xf>
    <xf numFmtId="0" fontId="18" fillId="0" borderId="357" xfId="0" applyFont="1" applyFill="1" applyBorder="1" applyAlignment="1" applyProtection="1">
      <alignment wrapText="1"/>
      <protection locked="0"/>
    </xf>
    <xf numFmtId="14" fontId="18" fillId="0" borderId="565" xfId="0" applyNumberFormat="1" applyFont="1" applyFill="1" applyBorder="1" applyAlignment="1" applyProtection="1">
      <protection locked="0"/>
    </xf>
    <xf numFmtId="0" fontId="18" fillId="0" borderId="140" xfId="0" applyFont="1" applyFill="1" applyBorder="1" applyAlignment="1" applyProtection="1">
      <alignment wrapText="1"/>
      <protection locked="0"/>
    </xf>
    <xf numFmtId="17" fontId="18" fillId="0" borderId="126" xfId="0" applyNumberFormat="1" applyFont="1" applyFill="1" applyBorder="1" applyAlignment="1" applyProtection="1">
      <protection locked="0"/>
    </xf>
    <xf numFmtId="0" fontId="18" fillId="0" borderId="141" xfId="0" applyFont="1" applyFill="1" applyBorder="1" applyAlignment="1" applyProtection="1">
      <alignment wrapText="1"/>
      <protection locked="0"/>
    </xf>
    <xf numFmtId="14" fontId="18" fillId="0" borderId="605" xfId="0" applyNumberFormat="1" applyFont="1" applyFill="1" applyBorder="1" applyAlignment="1" applyProtection="1">
      <protection locked="0"/>
    </xf>
    <xf numFmtId="14" fontId="18" fillId="0" borderId="606" xfId="0" applyNumberFormat="1" applyFont="1" applyFill="1" applyBorder="1" applyAlignment="1" applyProtection="1">
      <protection locked="0"/>
    </xf>
    <xf numFmtId="14" fontId="18" fillId="0" borderId="604" xfId="0" applyNumberFormat="1" applyFont="1" applyFill="1" applyBorder="1" applyAlignment="1" applyProtection="1">
      <protection locked="0"/>
    </xf>
    <xf numFmtId="10" fontId="18" fillId="0" borderId="566" xfId="0" applyNumberFormat="1" applyFont="1" applyFill="1" applyBorder="1" applyAlignment="1" applyProtection="1">
      <protection locked="0"/>
    </xf>
    <xf numFmtId="14" fontId="18" fillId="0" borderId="139" xfId="0" applyNumberFormat="1" applyFont="1" applyFill="1" applyBorder="1" applyAlignment="1" applyProtection="1">
      <protection locked="0"/>
    </xf>
    <xf numFmtId="17" fontId="3" fillId="0" borderId="105" xfId="0" applyNumberFormat="1" applyFont="1" applyFill="1" applyBorder="1" applyAlignment="1" applyProtection="1">
      <alignment vertical="center"/>
      <protection locked="0"/>
    </xf>
    <xf numFmtId="0" fontId="23" fillId="18" borderId="0" xfId="0" applyFont="1" applyFill="1" applyBorder="1" applyProtection="1"/>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0" fontId="18" fillId="0" borderId="14" xfId="0"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20"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15"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4" xfId="0" applyFont="1" applyFill="1" applyBorder="1" applyAlignment="1" applyProtection="1">
      <alignment horizontal="right" vertical="center"/>
    </xf>
    <xf numFmtId="0" fontId="18" fillId="0" borderId="25" xfId="0" applyFont="1" applyFill="1" applyBorder="1" applyAlignment="1" applyProtection="1">
      <alignment horizontal="right" vertical="center"/>
    </xf>
    <xf numFmtId="0" fontId="18" fillId="0" borderId="6" xfId="0" applyFont="1" applyFill="1" applyBorder="1" applyAlignment="1" applyProtection="1">
      <alignment horizontal="left"/>
      <protection locked="0"/>
    </xf>
    <xf numFmtId="0" fontId="18" fillId="0" borderId="6" xfId="0" applyFont="1" applyFill="1" applyBorder="1" applyProtection="1">
      <protection locked="0"/>
    </xf>
    <xf numFmtId="0" fontId="51" fillId="0" borderId="0" xfId="0" applyFont="1" applyFill="1" applyBorder="1" applyAlignment="1" applyProtection="1">
      <alignment horizontal="left" vertical="top" wrapText="1"/>
    </xf>
    <xf numFmtId="0" fontId="53" fillId="0" borderId="6" xfId="0" applyFont="1" applyFill="1" applyBorder="1" applyAlignment="1" applyProtection="1">
      <alignment horizontal="left"/>
      <protection locked="0"/>
    </xf>
    <xf numFmtId="0" fontId="22" fillId="0" borderId="6" xfId="0" applyFont="1" applyFill="1" applyBorder="1" applyAlignment="1" applyProtection="1">
      <alignment horizontal="left"/>
      <protection locked="0"/>
    </xf>
    <xf numFmtId="0" fontId="19" fillId="0" borderId="0" xfId="0" applyFont="1" applyFill="1" applyBorder="1" applyAlignment="1" applyProtection="1"/>
    <xf numFmtId="0" fontId="18" fillId="6" borderId="6" xfId="0" applyFont="1" applyFill="1" applyBorder="1" applyProtection="1"/>
    <xf numFmtId="0" fontId="23" fillId="18" borderId="0" xfId="0" applyFont="1" applyFill="1" applyBorder="1" applyAlignment="1" applyProtection="1">
      <alignment horizontal="left"/>
    </xf>
    <xf numFmtId="0" fontId="23" fillId="14" borderId="0" xfId="0" applyFont="1" applyFill="1" applyBorder="1" applyAlignment="1" applyProtection="1">
      <alignment horizontal="left"/>
    </xf>
    <xf numFmtId="0" fontId="3" fillId="6" borderId="6" xfId="0" applyFont="1" applyFill="1" applyBorder="1" applyAlignment="1" applyProtection="1"/>
    <xf numFmtId="0" fontId="23" fillId="14" borderId="0" xfId="0" applyFont="1" applyFill="1" applyBorder="1" applyProtection="1"/>
    <xf numFmtId="0" fontId="23" fillId="18" borderId="0" xfId="0" applyFont="1" applyFill="1" applyBorder="1" applyAlignment="1" applyProtection="1">
      <alignment vertical="center"/>
    </xf>
    <xf numFmtId="0" fontId="18" fillId="18" borderId="131" xfId="0" applyFont="1" applyFill="1" applyBorder="1" applyAlignment="1" applyProtection="1">
      <alignment horizontal="center" vertical="center" wrapText="1"/>
    </xf>
    <xf numFmtId="0" fontId="2" fillId="14" borderId="251" xfId="0" applyFont="1" applyFill="1" applyBorder="1" applyAlignment="1" applyProtection="1">
      <alignment horizontal="center"/>
    </xf>
    <xf numFmtId="0" fontId="2" fillId="14" borderId="8" xfId="0" applyFont="1" applyFill="1" applyBorder="1" applyAlignment="1" applyProtection="1">
      <alignment horizontal="center"/>
    </xf>
    <xf numFmtId="0" fontId="19" fillId="18" borderId="293" xfId="0" applyFont="1" applyFill="1" applyBorder="1" applyAlignment="1" applyProtection="1">
      <alignment horizontal="center" vertical="center" wrapText="1"/>
    </xf>
    <xf numFmtId="0" fontId="19" fillId="18" borderId="21" xfId="0" applyFont="1" applyFill="1" applyBorder="1" applyAlignment="1" applyProtection="1">
      <alignment horizontal="center" vertical="center" wrapText="1"/>
    </xf>
    <xf numFmtId="0" fontId="18" fillId="18" borderId="270" xfId="0" applyFont="1" applyFill="1" applyBorder="1" applyAlignment="1" applyProtection="1">
      <alignment horizontal="center" vertical="center" wrapText="1"/>
    </xf>
    <xf numFmtId="0" fontId="18" fillId="18" borderId="25" xfId="0" applyFont="1" applyFill="1" applyBorder="1" applyAlignment="1" applyProtection="1">
      <alignment horizontal="center" vertical="center" wrapText="1"/>
    </xf>
    <xf numFmtId="0" fontId="18" fillId="18" borderId="3" xfId="0" applyFont="1" applyFill="1" applyBorder="1" applyAlignment="1" applyProtection="1">
      <alignment horizontal="center" vertical="center" wrapText="1"/>
    </xf>
    <xf numFmtId="0" fontId="18" fillId="18" borderId="271" xfId="0" applyFont="1" applyFill="1" applyBorder="1" applyAlignment="1" applyProtection="1">
      <alignment horizontal="center" vertical="center" wrapText="1"/>
    </xf>
    <xf numFmtId="0" fontId="18" fillId="18" borderId="4" xfId="0" applyFont="1" applyFill="1" applyBorder="1" applyAlignment="1" applyProtection="1">
      <alignment horizontal="center" vertical="center" wrapText="1"/>
    </xf>
    <xf numFmtId="0" fontId="18" fillId="18" borderId="233" xfId="0" applyFont="1" applyFill="1" applyBorder="1" applyAlignment="1" applyProtection="1">
      <alignment horizontal="center" vertical="center" wrapText="1"/>
    </xf>
    <xf numFmtId="0" fontId="18" fillId="18" borderId="15" xfId="0" applyFont="1" applyFill="1" applyBorder="1" applyAlignment="1" applyProtection="1">
      <alignment horizontal="center" vertical="center" wrapText="1"/>
    </xf>
    <xf numFmtId="0" fontId="23" fillId="14" borderId="0" xfId="0" applyFont="1" applyFill="1" applyBorder="1" applyAlignment="1" applyProtection="1">
      <alignment vertical="center"/>
    </xf>
    <xf numFmtId="16" fontId="1" fillId="0" borderId="536" xfId="0" applyNumberFormat="1" applyFont="1" applyFill="1" applyBorder="1" applyAlignment="1" applyProtection="1">
      <alignment vertical="top"/>
    </xf>
    <xf numFmtId="16" fontId="1" fillId="0" borderId="519" xfId="0" applyNumberFormat="1" applyFont="1" applyFill="1" applyBorder="1" applyAlignment="1" applyProtection="1">
      <alignment vertical="top"/>
    </xf>
    <xf numFmtId="16" fontId="1" fillId="0" borderId="537" xfId="0" applyNumberFormat="1" applyFont="1" applyFill="1" applyBorder="1" applyAlignment="1" applyProtection="1">
      <alignment vertical="top"/>
    </xf>
    <xf numFmtId="0" fontId="84" fillId="18" borderId="0" xfId="0" applyFont="1" applyFill="1" applyBorder="1" applyProtection="1"/>
    <xf numFmtId="0" fontId="17" fillId="6" borderId="6" xfId="0" applyFont="1" applyFill="1" applyBorder="1" applyAlignment="1" applyProtection="1"/>
    <xf numFmtId="16" fontId="1" fillId="0" borderId="530" xfId="0" applyNumberFormat="1" applyFont="1" applyFill="1" applyBorder="1" applyProtection="1"/>
    <xf numFmtId="16" fontId="1" fillId="0" borderId="513" xfId="0" applyNumberFormat="1" applyFont="1" applyFill="1" applyBorder="1" applyProtection="1"/>
    <xf numFmtId="16" fontId="1" fillId="0" borderId="531" xfId="0" applyNumberFormat="1" applyFont="1" applyFill="1" applyBorder="1" applyProtection="1"/>
    <xf numFmtId="0" fontId="1" fillId="0" borderId="532" xfId="0" applyFont="1" applyFill="1" applyBorder="1" applyProtection="1"/>
    <xf numFmtId="0" fontId="1" fillId="0" borderId="512" xfId="0" applyFont="1" applyFill="1" applyBorder="1" applyProtection="1"/>
    <xf numFmtId="0" fontId="1" fillId="0" borderId="533" xfId="0" applyFont="1" applyFill="1" applyBorder="1" applyProtection="1"/>
    <xf numFmtId="16" fontId="1" fillId="0" borderId="534" xfId="0" applyNumberFormat="1" applyFont="1" applyFill="1" applyBorder="1" applyProtection="1"/>
    <xf numFmtId="16" fontId="1" fillId="0" borderId="518" xfId="0" applyNumberFormat="1" applyFont="1" applyFill="1" applyBorder="1" applyProtection="1"/>
    <xf numFmtId="16" fontId="1" fillId="0" borderId="535" xfId="0" applyNumberFormat="1" applyFont="1" applyFill="1" applyBorder="1" applyProtection="1"/>
    <xf numFmtId="16" fontId="1" fillId="0" borderId="536" xfId="0" applyNumberFormat="1" applyFont="1" applyFill="1" applyBorder="1" applyProtection="1"/>
    <xf numFmtId="16" fontId="1" fillId="0" borderId="519" xfId="0" applyNumberFormat="1" applyFont="1" applyFill="1" applyBorder="1" applyProtection="1"/>
    <xf numFmtId="16" fontId="1" fillId="0" borderId="537" xfId="0" applyNumberFormat="1" applyFont="1" applyFill="1" applyBorder="1" applyProtection="1"/>
    <xf numFmtId="16" fontId="0" fillId="0" borderId="536" xfId="0" applyNumberFormat="1" applyFont="1" applyFill="1" applyBorder="1" applyProtection="1"/>
    <xf numFmtId="16" fontId="1" fillId="0" borderId="504" xfId="0" applyNumberFormat="1" applyFont="1" applyFill="1" applyBorder="1" applyProtection="1"/>
    <xf numFmtId="16" fontId="1" fillId="0" borderId="538" xfId="0" applyNumberFormat="1" applyFont="1" applyFill="1" applyBorder="1" applyProtection="1"/>
    <xf numFmtId="16" fontId="1" fillId="0" borderId="520" xfId="0" applyNumberFormat="1" applyFont="1" applyFill="1" applyBorder="1" applyProtection="1"/>
    <xf numFmtId="16" fontId="1" fillId="0" borderId="539" xfId="0" applyNumberFormat="1" applyFont="1" applyFill="1" applyBorder="1" applyProtection="1"/>
    <xf numFmtId="0" fontId="17" fillId="0" borderId="505" xfId="0" applyFont="1" applyFill="1" applyBorder="1" applyProtection="1"/>
    <xf numFmtId="0" fontId="17" fillId="0" borderId="519" xfId="0" applyFont="1" applyFill="1" applyBorder="1" applyProtection="1"/>
    <xf numFmtId="0" fontId="17" fillId="0" borderId="517" xfId="0" applyFont="1" applyFill="1" applyBorder="1" applyProtection="1"/>
    <xf numFmtId="16" fontId="1" fillId="0" borderId="505" xfId="0" applyNumberFormat="1" applyFont="1" applyFill="1" applyBorder="1" applyProtection="1"/>
    <xf numFmtId="16" fontId="1" fillId="0" borderId="540" xfId="0" applyNumberFormat="1" applyFont="1" applyFill="1" applyBorder="1" applyProtection="1"/>
    <xf numFmtId="16" fontId="0" fillId="0" borderId="504" xfId="0" applyNumberFormat="1" applyFont="1" applyFill="1" applyBorder="1" applyProtection="1"/>
    <xf numFmtId="16" fontId="0" fillId="0" borderId="518" xfId="0" applyNumberFormat="1" applyFont="1" applyFill="1" applyBorder="1" applyProtection="1"/>
    <xf numFmtId="16" fontId="0" fillId="0" borderId="515" xfId="0" applyNumberFormat="1" applyFont="1" applyFill="1" applyBorder="1" applyProtection="1"/>
    <xf numFmtId="16" fontId="0" fillId="0" borderId="505" xfId="0" applyNumberFormat="1" applyFont="1" applyFill="1" applyBorder="1" applyProtection="1"/>
    <xf numFmtId="16" fontId="0" fillId="0" borderId="519" xfId="0" applyNumberFormat="1" applyFont="1" applyFill="1" applyBorder="1" applyProtection="1"/>
    <xf numFmtId="16" fontId="0" fillId="0" borderId="517" xfId="0" applyNumberFormat="1" applyFont="1" applyFill="1" applyBorder="1" applyProtection="1"/>
    <xf numFmtId="16" fontId="1" fillId="0" borderId="517" xfId="0" applyNumberFormat="1" applyFont="1" applyFill="1" applyBorder="1" applyProtection="1"/>
    <xf numFmtId="0" fontId="17" fillId="0" borderId="505" xfId="0" applyFont="1" applyFill="1" applyBorder="1" applyAlignment="1" applyProtection="1"/>
    <xf numFmtId="0" fontId="17" fillId="0" borderId="519" xfId="0" applyFont="1" applyFill="1" applyBorder="1" applyAlignment="1" applyProtection="1"/>
    <xf numFmtId="0" fontId="17" fillId="0" borderId="517" xfId="0" applyFont="1" applyFill="1" applyBorder="1" applyAlignment="1" applyProtection="1"/>
    <xf numFmtId="16" fontId="0" fillId="0" borderId="505" xfId="0" applyNumberFormat="1" applyFont="1" applyFill="1" applyBorder="1" applyAlignment="1" applyProtection="1"/>
    <xf numFmtId="16" fontId="1" fillId="0" borderId="519" xfId="0" applyNumberFormat="1" applyFont="1" applyFill="1" applyBorder="1" applyAlignment="1" applyProtection="1"/>
    <xf numFmtId="16" fontId="1" fillId="0" borderId="517" xfId="0" applyNumberFormat="1" applyFont="1" applyFill="1" applyBorder="1" applyAlignment="1" applyProtection="1"/>
    <xf numFmtId="0" fontId="17" fillId="0" borderId="540" xfId="0" applyFont="1" applyFill="1" applyBorder="1" applyAlignment="1" applyProtection="1"/>
    <xf numFmtId="0" fontId="17" fillId="0" borderId="520" xfId="0" applyFont="1" applyFill="1" applyBorder="1" applyAlignment="1" applyProtection="1"/>
    <xf numFmtId="0" fontId="17" fillId="0" borderId="516" xfId="0" applyFont="1" applyFill="1" applyBorder="1" applyAlignment="1" applyProtection="1"/>
    <xf numFmtId="16" fontId="1" fillId="0" borderId="515" xfId="0" applyNumberFormat="1" applyFont="1" applyFill="1" applyBorder="1" applyProtection="1"/>
    <xf numFmtId="16" fontId="1" fillId="0" borderId="516" xfId="0" applyNumberFormat="1" applyFont="1" applyFill="1" applyBorder="1" applyProtection="1"/>
    <xf numFmtId="16" fontId="26" fillId="0" borderId="504" xfId="0" applyNumberFormat="1" applyFont="1" applyFill="1" applyBorder="1" applyAlignment="1" applyProtection="1"/>
    <xf numFmtId="16" fontId="26" fillId="0" borderId="518" xfId="0" applyNumberFormat="1" applyFont="1" applyFill="1" applyBorder="1" applyAlignment="1" applyProtection="1"/>
    <xf numFmtId="16" fontId="26" fillId="0" borderId="515" xfId="0" applyNumberFormat="1" applyFont="1" applyFill="1" applyBorder="1" applyAlignment="1" applyProtection="1"/>
    <xf numFmtId="16" fontId="1" fillId="0" borderId="505" xfId="0" applyNumberFormat="1" applyFont="1" applyFill="1" applyBorder="1" applyAlignment="1" applyProtection="1">
      <alignment vertical="top"/>
    </xf>
    <xf numFmtId="16" fontId="1" fillId="0" borderId="517" xfId="0" applyNumberFormat="1" applyFont="1" applyFill="1" applyBorder="1" applyAlignment="1" applyProtection="1">
      <alignment vertical="top"/>
    </xf>
    <xf numFmtId="0" fontId="84" fillId="14" borderId="0" xfId="0" applyFont="1" applyFill="1" applyBorder="1" applyProtection="1"/>
    <xf numFmtId="0" fontId="2" fillId="18" borderId="436" xfId="0" applyFont="1" applyFill="1" applyBorder="1" applyAlignment="1" applyProtection="1"/>
    <xf numFmtId="0" fontId="2" fillId="18" borderId="437" xfId="0" applyFont="1" applyFill="1" applyBorder="1" applyAlignment="1" applyProtection="1"/>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1" fillId="5" borderId="81" xfId="0" applyFont="1" applyFill="1" applyBorder="1" applyAlignment="1" applyProtection="1">
      <protection locked="0"/>
    </xf>
    <xf numFmtId="0" fontId="1" fillId="5" borderId="82" xfId="0" applyFont="1" applyFill="1" applyBorder="1" applyAlignment="1" applyProtection="1">
      <protection locked="0"/>
    </xf>
    <xf numFmtId="0" fontId="1" fillId="5" borderId="88" xfId="0" applyFont="1" applyFill="1" applyBorder="1" applyAlignment="1" applyProtection="1">
      <protection locked="0"/>
    </xf>
    <xf numFmtId="0" fontId="1" fillId="5" borderId="91" xfId="0" applyFont="1" applyFill="1" applyBorder="1" applyAlignment="1" applyProtection="1">
      <protection locked="0"/>
    </xf>
    <xf numFmtId="0" fontId="26" fillId="5" borderId="393" xfId="0" applyFont="1" applyFill="1" applyBorder="1" applyAlignment="1" applyProtection="1">
      <protection locked="0"/>
    </xf>
    <xf numFmtId="0" fontId="26" fillId="5" borderId="143" xfId="0" applyFont="1" applyFill="1" applyBorder="1" applyAlignment="1" applyProtection="1">
      <protection locked="0"/>
    </xf>
    <xf numFmtId="0" fontId="0" fillId="5" borderId="81" xfId="0" applyFont="1" applyFill="1" applyBorder="1" applyAlignment="1" applyProtection="1">
      <protection locked="0"/>
    </xf>
    <xf numFmtId="0" fontId="22" fillId="3" borderId="432" xfId="0" applyFont="1" applyFill="1" applyBorder="1" applyAlignment="1" applyProtection="1">
      <alignment wrapText="1"/>
    </xf>
    <xf numFmtId="0" fontId="22" fillId="3" borderId="439" xfId="0" applyFont="1" applyFill="1" applyBorder="1" applyAlignment="1" applyProtection="1">
      <alignment wrapText="1"/>
    </xf>
    <xf numFmtId="0" fontId="3" fillId="3" borderId="14" xfId="0" applyFont="1" applyFill="1" applyBorder="1" applyAlignment="1" applyProtection="1">
      <alignment horizontal="left" vertical="top" wrapText="1"/>
      <protection locked="0"/>
    </xf>
    <xf numFmtId="0" fontId="3" fillId="3" borderId="18"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23" fillId="18" borderId="0" xfId="0" applyFont="1" applyFill="1" applyBorder="1" applyAlignment="1" applyProtection="1"/>
    <xf numFmtId="0" fontId="3" fillId="0" borderId="88" xfId="0" applyFont="1" applyFill="1" applyBorder="1" applyAlignment="1" applyProtection="1">
      <alignment vertical="center" wrapText="1"/>
      <protection locked="0"/>
    </xf>
    <xf numFmtId="0" fontId="3" fillId="0" borderId="91" xfId="0" applyFont="1" applyFill="1" applyBorder="1" applyAlignment="1" applyProtection="1">
      <alignment vertical="center" wrapText="1"/>
      <protection locked="0"/>
    </xf>
    <xf numFmtId="0" fontId="3" fillId="0" borderId="81" xfId="0" applyFont="1" applyBorder="1" applyAlignment="1" applyProtection="1">
      <alignment vertical="center" wrapText="1"/>
      <protection locked="0"/>
    </xf>
    <xf numFmtId="0" fontId="3" fillId="0" borderId="82" xfId="0" applyFont="1" applyBorder="1" applyAlignment="1" applyProtection="1">
      <alignment vertical="center" wrapText="1"/>
      <protection locked="0"/>
    </xf>
    <xf numFmtId="0" fontId="3" fillId="0" borderId="81" xfId="0" applyFont="1" applyFill="1" applyBorder="1" applyAlignment="1" applyProtection="1">
      <alignment vertical="center"/>
      <protection locked="0"/>
    </xf>
    <xf numFmtId="0" fontId="3" fillId="0" borderId="82" xfId="0" applyFont="1" applyFill="1" applyBorder="1" applyAlignment="1" applyProtection="1">
      <alignment vertical="center"/>
      <protection locked="0"/>
    </xf>
    <xf numFmtId="0" fontId="6" fillId="18" borderId="432" xfId="0" applyFont="1" applyFill="1" applyBorder="1" applyAlignment="1" applyProtection="1">
      <alignment vertical="center" wrapText="1"/>
    </xf>
    <xf numFmtId="0" fontId="6" fillId="18" borderId="444" xfId="0" applyFont="1" applyFill="1" applyBorder="1" applyAlignment="1" applyProtection="1">
      <alignment vertical="center" wrapText="1"/>
    </xf>
    <xf numFmtId="0" fontId="3" fillId="6" borderId="6" xfId="0" applyFont="1" applyFill="1" applyBorder="1" applyAlignment="1" applyProtection="1">
      <alignment horizontal="left" vertical="center"/>
    </xf>
    <xf numFmtId="0" fontId="3" fillId="0" borderId="453" xfId="0" applyFont="1" applyBorder="1" applyAlignment="1" applyProtection="1">
      <alignment vertical="center" wrapText="1"/>
      <protection locked="0"/>
    </xf>
    <xf numFmtId="0" fontId="3" fillId="0" borderId="458" xfId="0" applyFont="1" applyBorder="1" applyAlignment="1" applyProtection="1">
      <alignment vertical="center" wrapText="1"/>
      <protection locked="0"/>
    </xf>
    <xf numFmtId="0" fontId="3" fillId="0" borderId="81" xfId="0" applyFont="1" applyFill="1" applyBorder="1" applyAlignment="1" applyProtection="1">
      <alignment horizontal="left" vertical="center" wrapText="1"/>
      <protection locked="0"/>
    </xf>
    <xf numFmtId="0" fontId="3" fillId="0" borderId="82" xfId="0" applyFont="1" applyFill="1" applyBorder="1" applyAlignment="1" applyProtection="1">
      <alignment horizontal="left" vertical="center" wrapText="1"/>
      <protection locked="0"/>
    </xf>
    <xf numFmtId="0" fontId="3" fillId="0" borderId="81" xfId="0" applyFont="1" applyBorder="1" applyAlignment="1" applyProtection="1">
      <alignment vertical="center"/>
      <protection locked="0"/>
    </xf>
    <xf numFmtId="0" fontId="3" fillId="0" borderId="82" xfId="0" applyFont="1" applyBorder="1" applyAlignment="1" applyProtection="1">
      <alignment vertical="center"/>
      <protection locked="0"/>
    </xf>
    <xf numFmtId="0" fontId="3" fillId="0" borderId="81" xfId="0" applyFont="1" applyFill="1" applyBorder="1" applyAlignment="1" applyProtection="1">
      <alignment vertical="center" wrapText="1"/>
      <protection locked="0"/>
    </xf>
    <xf numFmtId="0" fontId="3" fillId="0" borderId="82" xfId="0" applyFont="1" applyFill="1" applyBorder="1" applyAlignment="1" applyProtection="1">
      <alignment vertical="center" wrapText="1"/>
      <protection locked="0"/>
    </xf>
    <xf numFmtId="0" fontId="3" fillId="0" borderId="81"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0" fontId="6" fillId="18" borderId="287" xfId="0" applyFont="1" applyFill="1" applyBorder="1" applyAlignment="1" applyProtection="1">
      <alignment horizontal="left" vertical="center" wrapText="1"/>
    </xf>
    <xf numFmtId="0" fontId="6" fillId="18" borderId="447" xfId="0" applyFont="1" applyFill="1" applyBorder="1" applyAlignment="1" applyProtection="1">
      <alignment horizontal="left" vertical="center" wrapText="1"/>
    </xf>
    <xf numFmtId="0" fontId="3" fillId="0" borderId="81"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3" fillId="0" borderId="95" xfId="0" applyFont="1" applyBorder="1" applyAlignment="1" applyProtection="1">
      <alignment vertical="center" wrapText="1"/>
      <protection locked="0"/>
    </xf>
    <xf numFmtId="0" fontId="3" fillId="0" borderId="90" xfId="0" applyFont="1" applyBorder="1" applyAlignment="1" applyProtection="1">
      <alignment vertical="center" wrapText="1"/>
      <protection locked="0"/>
    </xf>
    <xf numFmtId="0" fontId="30" fillId="18" borderId="436" xfId="0" applyFont="1" applyFill="1" applyBorder="1" applyAlignment="1" applyProtection="1">
      <alignment horizontal="center"/>
    </xf>
    <xf numFmtId="0" fontId="30" fillId="18" borderId="448" xfId="0" applyFont="1" applyFill="1" applyBorder="1" applyAlignment="1" applyProtection="1">
      <alignment horizontal="center"/>
    </xf>
    <xf numFmtId="0" fontId="30" fillId="18" borderId="584" xfId="0" applyFont="1" applyFill="1" applyBorder="1" applyAlignment="1" applyProtection="1">
      <alignment horizontal="center"/>
    </xf>
    <xf numFmtId="0" fontId="30" fillId="18" borderId="582" xfId="0" applyFont="1" applyFill="1" applyBorder="1" applyAlignment="1" applyProtection="1">
      <alignment horizontal="center"/>
    </xf>
    <xf numFmtId="0" fontId="30" fillId="18" borderId="583" xfId="0" applyFont="1" applyFill="1" applyBorder="1" applyAlignment="1" applyProtection="1">
      <alignment horizontal="center"/>
    </xf>
    <xf numFmtId="5" fontId="22" fillId="7" borderId="129" xfId="0" applyNumberFormat="1" applyFont="1" applyFill="1" applyBorder="1" applyAlignment="1" applyProtection="1">
      <alignment horizontal="center" vertical="center" wrapText="1"/>
    </xf>
    <xf numFmtId="5" fontId="22" fillId="7" borderId="16" xfId="0" applyNumberFormat="1" applyFont="1" applyFill="1" applyBorder="1" applyAlignment="1" applyProtection="1">
      <alignment horizontal="center" vertical="center" wrapText="1"/>
    </xf>
    <xf numFmtId="5" fontId="22" fillId="14" borderId="24" xfId="0" applyNumberFormat="1" applyFont="1" applyFill="1" applyBorder="1" applyAlignment="1" applyProtection="1">
      <alignment horizontal="center" vertical="center" wrapText="1"/>
    </xf>
    <xf numFmtId="5" fontId="22" fillId="14" borderId="17" xfId="0" applyNumberFormat="1" applyFont="1" applyFill="1" applyBorder="1" applyAlignment="1" applyProtection="1">
      <alignment horizontal="center" vertical="center" wrapText="1"/>
    </xf>
    <xf numFmtId="0" fontId="29" fillId="10" borderId="474" xfId="0" applyFont="1" applyFill="1" applyBorder="1" applyAlignment="1" applyProtection="1">
      <alignment horizontal="center" vertical="center" wrapText="1"/>
    </xf>
    <xf numFmtId="0" fontId="29" fillId="10" borderId="131" xfId="0" applyFont="1" applyFill="1" applyBorder="1" applyAlignment="1" applyProtection="1">
      <alignment horizontal="center" vertical="center" wrapText="1"/>
    </xf>
    <xf numFmtId="0" fontId="29" fillId="10" borderId="5" xfId="0" applyFont="1" applyFill="1" applyBorder="1" applyAlignment="1" applyProtection="1">
      <alignment horizontal="center" vertical="center" wrapText="1"/>
    </xf>
    <xf numFmtId="5" fontId="22" fillId="14" borderId="145" xfId="0" applyNumberFormat="1" applyFont="1" applyFill="1" applyBorder="1" applyAlignment="1" applyProtection="1">
      <alignment horizontal="center" vertical="center" wrapText="1"/>
    </xf>
    <xf numFmtId="5" fontId="22" fillId="14" borderId="22" xfId="0" applyNumberFormat="1" applyFont="1" applyFill="1" applyBorder="1" applyAlignment="1" applyProtection="1">
      <alignment horizontal="center" vertical="center" wrapText="1"/>
    </xf>
    <xf numFmtId="5" fontId="29" fillId="6" borderId="585" xfId="0" applyNumberFormat="1" applyFont="1" applyFill="1" applyBorder="1" applyAlignment="1" applyProtection="1">
      <alignment horizontal="center" vertical="center" wrapText="1"/>
    </xf>
    <xf numFmtId="5" fontId="29" fillId="6" borderId="23" xfId="0" applyNumberFormat="1" applyFont="1" applyFill="1" applyBorder="1" applyAlignment="1" applyProtection="1">
      <alignment horizontal="center" vertical="center" wrapText="1"/>
    </xf>
    <xf numFmtId="0" fontId="30" fillId="14" borderId="73" xfId="0" applyFont="1" applyFill="1" applyBorder="1" applyAlignment="1" applyProtection="1">
      <alignment horizontal="center"/>
    </xf>
    <xf numFmtId="0" fontId="30" fillId="14" borderId="227" xfId="0" applyFont="1" applyFill="1" applyBorder="1" applyAlignment="1" applyProtection="1">
      <alignment horizontal="center"/>
    </xf>
    <xf numFmtId="0" fontId="30" fillId="7" borderId="225" xfId="0" applyFont="1" applyFill="1" applyBorder="1" applyAlignment="1" applyProtection="1">
      <alignment horizontal="center"/>
    </xf>
    <xf numFmtId="0" fontId="30" fillId="7" borderId="73" xfId="0" applyFont="1" applyFill="1" applyBorder="1" applyAlignment="1" applyProtection="1">
      <alignment horizontal="center"/>
    </xf>
    <xf numFmtId="0" fontId="29" fillId="10" borderId="229" xfId="0" applyFont="1" applyFill="1" applyBorder="1" applyAlignment="1" applyProtection="1">
      <alignment horizontal="center" vertical="center" wrapText="1"/>
    </xf>
    <xf numFmtId="5" fontId="29" fillId="7" borderId="130" xfId="0" applyNumberFormat="1" applyFont="1" applyFill="1" applyBorder="1" applyAlignment="1" applyProtection="1">
      <alignment horizontal="center" vertical="center" wrapText="1"/>
    </xf>
    <xf numFmtId="5" fontId="29" fillId="7" borderId="23" xfId="0" applyNumberFormat="1" applyFont="1" applyFill="1" applyBorder="1" applyAlignment="1" applyProtection="1">
      <alignment horizontal="center" vertical="center" wrapText="1"/>
    </xf>
    <xf numFmtId="5" fontId="29" fillId="14" borderId="25" xfId="0" applyNumberFormat="1" applyFont="1" applyFill="1" applyBorder="1" applyAlignment="1" applyProtection="1">
      <alignment horizontal="center" vertical="center" wrapText="1"/>
    </xf>
    <xf numFmtId="5" fontId="29" fillId="14" borderId="27" xfId="0" applyNumberFormat="1" applyFont="1" applyFill="1" applyBorder="1" applyAlignment="1" applyProtection="1">
      <alignment horizontal="center" vertical="center" wrapText="1"/>
    </xf>
    <xf numFmtId="5" fontId="22" fillId="5" borderId="14" xfId="0" applyNumberFormat="1" applyFont="1" applyFill="1" applyBorder="1" applyAlignment="1" applyProtection="1">
      <alignment horizontal="center" vertical="center" wrapText="1"/>
      <protection locked="0"/>
    </xf>
    <xf numFmtId="5" fontId="22" fillId="5" borderId="17" xfId="0" applyNumberFormat="1" applyFont="1" applyFill="1" applyBorder="1" applyAlignment="1" applyProtection="1">
      <alignment horizontal="center" vertical="center" wrapText="1"/>
      <protection locked="0"/>
    </xf>
    <xf numFmtId="5" fontId="22" fillId="5" borderId="128" xfId="0" applyNumberFormat="1" applyFont="1" applyFill="1" applyBorder="1" applyAlignment="1" applyProtection="1">
      <alignment horizontal="center" vertical="center" wrapText="1"/>
      <protection locked="0"/>
    </xf>
    <xf numFmtId="5" fontId="22" fillId="5" borderId="16" xfId="0" applyNumberFormat="1" applyFont="1" applyFill="1" applyBorder="1" applyAlignment="1" applyProtection="1">
      <alignment horizontal="center" vertical="center" wrapText="1"/>
      <protection locked="0"/>
    </xf>
    <xf numFmtId="0" fontId="27" fillId="0" borderId="79" xfId="0" applyFont="1" applyBorder="1" applyAlignment="1" applyProtection="1">
      <alignment vertical="center"/>
      <protection locked="0"/>
    </xf>
    <xf numFmtId="0" fontId="27" fillId="0" borderId="77" xfId="0" applyFont="1" applyBorder="1" applyAlignment="1" applyProtection="1">
      <alignment vertical="center"/>
      <protection locked="0"/>
    </xf>
    <xf numFmtId="0" fontId="27" fillId="0" borderId="80" xfId="0" applyFont="1" applyBorder="1" applyAlignment="1" applyProtection="1">
      <alignment vertical="center"/>
      <protection locked="0"/>
    </xf>
    <xf numFmtId="44" fontId="25" fillId="0" borderId="121" xfId="0" applyNumberFormat="1" applyFont="1" applyFill="1" applyBorder="1" applyAlignment="1" applyProtection="1">
      <alignment vertical="center"/>
      <protection locked="0"/>
    </xf>
    <xf numFmtId="44" fontId="25" fillId="0" borderId="87" xfId="0" applyNumberFormat="1" applyFont="1" applyFill="1" applyBorder="1" applyAlignment="1" applyProtection="1">
      <alignment vertical="center"/>
      <protection locked="0"/>
    </xf>
    <xf numFmtId="44" fontId="25" fillId="0" borderId="451" xfId="0" applyNumberFormat="1" applyFont="1" applyFill="1" applyBorder="1" applyAlignment="1" applyProtection="1">
      <alignment vertical="center"/>
      <protection locked="0"/>
    </xf>
    <xf numFmtId="44" fontId="25" fillId="0" borderId="115" xfId="0" applyNumberFormat="1" applyFont="1" applyFill="1" applyBorder="1" applyAlignment="1" applyProtection="1">
      <alignment vertical="center"/>
      <protection locked="0"/>
    </xf>
    <xf numFmtId="44" fontId="25" fillId="0" borderId="450" xfId="0" applyNumberFormat="1" applyFont="1" applyFill="1" applyBorder="1" applyAlignment="1" applyProtection="1">
      <alignment vertical="center"/>
      <protection locked="0"/>
    </xf>
    <xf numFmtId="44" fontId="25" fillId="0" borderId="454" xfId="0" applyNumberFormat="1" applyFont="1" applyFill="1" applyBorder="1" applyAlignment="1" applyProtection="1">
      <alignment vertical="center"/>
      <protection locked="0"/>
    </xf>
    <xf numFmtId="44" fontId="25" fillId="0" borderId="451" xfId="0" applyNumberFormat="1" applyFont="1" applyFill="1" applyBorder="1" applyAlignment="1" applyProtection="1">
      <alignment vertical="center" wrapText="1"/>
      <protection locked="0"/>
    </xf>
    <xf numFmtId="44" fontId="25" fillId="0" borderId="115" xfId="0" applyNumberFormat="1" applyFont="1" applyFill="1" applyBorder="1" applyAlignment="1" applyProtection="1">
      <alignment vertical="center" wrapText="1"/>
      <protection locked="0"/>
    </xf>
    <xf numFmtId="44" fontId="25" fillId="0" borderId="121" xfId="0" applyNumberFormat="1" applyFont="1" applyFill="1" applyBorder="1" applyAlignment="1" applyProtection="1">
      <alignment vertical="center" wrapText="1"/>
      <protection locked="0"/>
    </xf>
    <xf numFmtId="44" fontId="25" fillId="0" borderId="87" xfId="0" applyNumberFormat="1" applyFont="1" applyFill="1" applyBorder="1" applyAlignment="1" applyProtection="1">
      <alignment vertical="center" wrapText="1"/>
      <protection locked="0"/>
    </xf>
    <xf numFmtId="0" fontId="6" fillId="7" borderId="239" xfId="0" applyFont="1" applyFill="1" applyBorder="1" applyAlignment="1" applyProtection="1">
      <alignment horizontal="center"/>
    </xf>
    <xf numFmtId="0" fontId="6" fillId="7" borderId="448" xfId="0" applyFont="1" applyFill="1" applyBorder="1" applyAlignment="1" applyProtection="1">
      <alignment horizontal="center"/>
    </xf>
    <xf numFmtId="0" fontId="6" fillId="7" borderId="235" xfId="0" applyFont="1" applyFill="1" applyBorder="1" applyAlignment="1" applyProtection="1">
      <alignment horizontal="center"/>
    </xf>
    <xf numFmtId="5" fontId="10" fillId="18" borderId="85" xfId="0" applyNumberFormat="1" applyFont="1" applyFill="1" applyBorder="1" applyAlignment="1" applyProtection="1">
      <alignment horizontal="center" vertical="center" wrapText="1"/>
    </xf>
    <xf numFmtId="5" fontId="10" fillId="18" borderId="84" xfId="0" applyNumberFormat="1" applyFont="1" applyFill="1" applyBorder="1" applyAlignment="1" applyProtection="1">
      <alignment horizontal="center" vertical="center" wrapText="1"/>
    </xf>
    <xf numFmtId="44" fontId="25" fillId="0" borderId="450" xfId="0" applyNumberFormat="1" applyFont="1" applyFill="1" applyBorder="1" applyAlignment="1" applyProtection="1">
      <alignment vertical="center" wrapText="1"/>
      <protection locked="0"/>
    </xf>
    <xf numFmtId="44" fontId="25" fillId="0" borderId="454" xfId="0" applyNumberFormat="1" applyFont="1" applyFill="1" applyBorder="1" applyAlignment="1" applyProtection="1">
      <alignment vertical="center" wrapText="1"/>
      <protection locked="0"/>
    </xf>
    <xf numFmtId="0" fontId="30" fillId="7" borderId="227" xfId="0" applyFont="1" applyFill="1" applyBorder="1" applyAlignment="1" applyProtection="1">
      <alignment horizontal="center"/>
    </xf>
    <xf numFmtId="0" fontId="9" fillId="0" borderId="14"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19" fillId="18" borderId="79" xfId="0" applyFont="1" applyFill="1" applyBorder="1" applyAlignment="1" applyProtection="1">
      <alignment horizontal="center"/>
    </xf>
    <xf numFmtId="0" fontId="19" fillId="18" borderId="71" xfId="0" applyFont="1" applyFill="1" applyBorder="1" applyAlignment="1" applyProtection="1">
      <alignment horizontal="center"/>
    </xf>
    <xf numFmtId="5" fontId="19" fillId="18" borderId="128" xfId="0" applyNumberFormat="1" applyFont="1" applyFill="1" applyBorder="1" applyAlignment="1" applyProtection="1">
      <alignment horizontal="center" vertical="center"/>
    </xf>
    <xf numFmtId="5" fontId="19" fillId="18" borderId="129" xfId="0" applyNumberFormat="1" applyFont="1" applyFill="1" applyBorder="1" applyAlignment="1" applyProtection="1">
      <alignment horizontal="center" vertical="center"/>
    </xf>
    <xf numFmtId="5" fontId="19" fillId="18" borderId="16" xfId="0" applyNumberFormat="1" applyFont="1" applyFill="1" applyBorder="1" applyAlignment="1" applyProtection="1">
      <alignment horizontal="center" vertical="center"/>
    </xf>
    <xf numFmtId="0" fontId="19" fillId="7" borderId="130" xfId="0" applyFont="1" applyFill="1" applyBorder="1" applyAlignment="1" applyProtection="1">
      <alignment horizontal="center" vertical="center" wrapText="1"/>
    </xf>
    <xf numFmtId="0" fontId="19" fillId="7" borderId="23" xfId="0" applyFont="1" applyFill="1" applyBorder="1" applyAlignment="1" applyProtection="1">
      <alignment horizontal="center" vertical="center" wrapText="1"/>
    </xf>
    <xf numFmtId="5" fontId="19" fillId="18" borderId="138" xfId="0" applyNumberFormat="1" applyFont="1" applyFill="1" applyBorder="1" applyAlignment="1" applyProtection="1">
      <alignment horizontal="center" vertical="center" wrapText="1"/>
    </xf>
    <xf numFmtId="5" fontId="19" fillId="18" borderId="145" xfId="0" applyNumberFormat="1" applyFont="1" applyFill="1" applyBorder="1" applyAlignment="1" applyProtection="1">
      <alignment horizontal="center" vertical="center" wrapText="1"/>
    </xf>
    <xf numFmtId="5" fontId="19" fillId="18" borderId="22" xfId="0" applyNumberFormat="1" applyFont="1" applyFill="1" applyBorder="1" applyAlignment="1" applyProtection="1">
      <alignment horizontal="center" vertical="center" wrapText="1"/>
    </xf>
    <xf numFmtId="170" fontId="27" fillId="0" borderId="79" xfId="0" applyNumberFormat="1" applyFont="1" applyBorder="1" applyAlignment="1" applyProtection="1">
      <alignment vertical="center"/>
    </xf>
    <xf numFmtId="170" fontId="27" fillId="0" borderId="77" xfId="0" applyNumberFormat="1" applyFont="1" applyBorder="1" applyAlignment="1" applyProtection="1">
      <alignment vertical="center"/>
    </xf>
    <xf numFmtId="170" fontId="27" fillId="0" borderId="80" xfId="0" applyNumberFormat="1" applyFont="1" applyBorder="1" applyAlignment="1" applyProtection="1">
      <alignment vertical="center"/>
    </xf>
    <xf numFmtId="0" fontId="41" fillId="18" borderId="0" xfId="0" applyFont="1" applyFill="1" applyBorder="1" applyAlignment="1" applyProtection="1"/>
    <xf numFmtId="0" fontId="58" fillId="0" borderId="0" xfId="0" applyFont="1" applyBorder="1" applyAlignment="1" applyProtection="1">
      <alignment vertical="center" wrapText="1"/>
    </xf>
    <xf numFmtId="0" fontId="58" fillId="0" borderId="3" xfId="0" applyFont="1" applyBorder="1" applyAlignment="1" applyProtection="1">
      <alignment vertical="center" wrapText="1"/>
    </xf>
    <xf numFmtId="0" fontId="62" fillId="0" borderId="63" xfId="0" applyFont="1" applyBorder="1" applyAlignment="1" applyProtection="1">
      <alignment horizontal="right" wrapText="1"/>
    </xf>
    <xf numFmtId="0" fontId="62" fillId="0" borderId="45" xfId="0" applyFont="1" applyBorder="1" applyAlignment="1" applyProtection="1">
      <alignment horizontal="right" wrapText="1"/>
    </xf>
    <xf numFmtId="0" fontId="27" fillId="0" borderId="0" xfId="0" applyFont="1" applyFill="1" applyBorder="1" applyAlignment="1" applyProtection="1">
      <alignment horizontal="right"/>
    </xf>
    <xf numFmtId="0" fontId="30" fillId="7" borderId="338" xfId="0" applyFont="1" applyFill="1" applyBorder="1" applyAlignment="1" applyProtection="1">
      <alignment horizontal="center"/>
    </xf>
    <xf numFmtId="0" fontId="41" fillId="14" borderId="0" xfId="0" applyFont="1" applyFill="1" applyBorder="1" applyAlignment="1" applyProtection="1"/>
    <xf numFmtId="0" fontId="18" fillId="0" borderId="453" xfId="0" applyFont="1" applyFill="1" applyBorder="1" applyAlignment="1" applyProtection="1"/>
    <xf numFmtId="0" fontId="18" fillId="0" borderId="454" xfId="0" applyFont="1" applyFill="1" applyBorder="1" applyAlignment="1" applyProtection="1"/>
    <xf numFmtId="0" fontId="18" fillId="0" borderId="81" xfId="0" applyFont="1" applyFill="1" applyBorder="1" applyAlignment="1" applyProtection="1"/>
    <xf numFmtId="0" fontId="18" fillId="0" borderId="87" xfId="0" applyFont="1" applyFill="1" applyBorder="1" applyAlignment="1" applyProtection="1"/>
    <xf numFmtId="0" fontId="18" fillId="0" borderId="88" xfId="0" applyFont="1" applyFill="1" applyBorder="1" applyAlignment="1" applyProtection="1"/>
    <xf numFmtId="0" fontId="18" fillId="0" borderId="115" xfId="0" applyFont="1" applyFill="1" applyBorder="1" applyAlignment="1" applyProtection="1"/>
    <xf numFmtId="0" fontId="22" fillId="18" borderId="258" xfId="0" applyFont="1" applyFill="1" applyBorder="1" applyAlignment="1" applyProtection="1"/>
    <xf numFmtId="0" fontId="22" fillId="18" borderId="482" xfId="0" applyFont="1" applyFill="1" applyBorder="1" applyAlignment="1" applyProtection="1"/>
    <xf numFmtId="0" fontId="18" fillId="0" borderId="95" xfId="0" applyNumberFormat="1" applyFont="1" applyFill="1" applyBorder="1" applyAlignment="1" applyProtection="1">
      <alignment vertical="center"/>
    </xf>
    <xf numFmtId="0" fontId="18" fillId="0" borderId="102" xfId="0" applyNumberFormat="1" applyFont="1" applyFill="1" applyBorder="1" applyAlignment="1" applyProtection="1">
      <alignment vertical="center"/>
    </xf>
    <xf numFmtId="0" fontId="18" fillId="0" borderId="81" xfId="0" applyFont="1" applyFill="1" applyBorder="1" applyAlignment="1" applyProtection="1">
      <alignment vertical="center"/>
    </xf>
    <xf numFmtId="0" fontId="18" fillId="0" borderId="87" xfId="0" applyFont="1" applyFill="1" applyBorder="1" applyAlignment="1" applyProtection="1">
      <alignment vertical="center"/>
    </xf>
    <xf numFmtId="0" fontId="18" fillId="0" borderId="88" xfId="0" applyFont="1" applyFill="1" applyBorder="1" applyAlignment="1" applyProtection="1">
      <alignment vertical="center"/>
    </xf>
    <xf numFmtId="0" fontId="18" fillId="0" borderId="115" xfId="0" applyFont="1" applyFill="1" applyBorder="1" applyAlignment="1" applyProtection="1">
      <alignment vertical="center"/>
    </xf>
    <xf numFmtId="0" fontId="22" fillId="0" borderId="11" xfId="0" applyFont="1" applyFill="1" applyBorder="1" applyAlignment="1" applyProtection="1"/>
    <xf numFmtId="0" fontId="22" fillId="0" borderId="462" xfId="0" applyFont="1" applyFill="1" applyBorder="1" applyAlignment="1" applyProtection="1"/>
    <xf numFmtId="0" fontId="22" fillId="0" borderId="287" xfId="0" applyFont="1" applyFill="1" applyBorder="1" applyAlignment="1" applyProtection="1"/>
    <xf numFmtId="0" fontId="22" fillId="0" borderId="428" xfId="0" applyFont="1" applyFill="1" applyBorder="1" applyAlignment="1" applyProtection="1"/>
    <xf numFmtId="0" fontId="43" fillId="0" borderId="60" xfId="0" applyFont="1" applyFill="1" applyBorder="1" applyAlignment="1" applyProtection="1">
      <alignment horizontal="left" indent="1"/>
    </xf>
    <xf numFmtId="0" fontId="43" fillId="0" borderId="58" xfId="0" applyFont="1" applyFill="1" applyBorder="1" applyAlignment="1" applyProtection="1">
      <alignment horizontal="left" indent="1"/>
    </xf>
    <xf numFmtId="0" fontId="22" fillId="0" borderId="489" xfId="0" applyFont="1" applyFill="1" applyBorder="1" applyAlignment="1" applyProtection="1"/>
    <xf numFmtId="0" fontId="22" fillId="0" borderId="490" xfId="0" applyFont="1" applyFill="1" applyBorder="1" applyAlignment="1" applyProtection="1"/>
    <xf numFmtId="0" fontId="46" fillId="0" borderId="60" xfId="0" applyFont="1" applyFill="1" applyBorder="1" applyAlignment="1" applyProtection="1"/>
    <xf numFmtId="0" fontId="46" fillId="0" borderId="58" xfId="0" applyFont="1" applyFill="1" applyBorder="1" applyAlignment="1" applyProtection="1"/>
    <xf numFmtId="0" fontId="18" fillId="0" borderId="95" xfId="0" applyFont="1" applyFill="1" applyBorder="1" applyAlignment="1" applyProtection="1"/>
    <xf numFmtId="0" fontId="18" fillId="0" borderId="102" xfId="0" applyFont="1" applyFill="1" applyBorder="1" applyAlignment="1" applyProtection="1"/>
    <xf numFmtId="0" fontId="46" fillId="0" borderId="61" xfId="0" applyFont="1" applyFill="1" applyBorder="1" applyAlignment="1" applyProtection="1"/>
    <xf numFmtId="0" fontId="46" fillId="0" borderId="153" xfId="0" applyFont="1" applyFill="1" applyBorder="1" applyAlignment="1" applyProtection="1"/>
    <xf numFmtId="0" fontId="18" fillId="0" borderId="95" xfId="0" applyFont="1" applyFill="1" applyBorder="1" applyAlignment="1" applyProtection="1">
      <alignment vertical="center"/>
    </xf>
    <xf numFmtId="0" fontId="18" fillId="0" borderId="102" xfId="0" applyFont="1" applyFill="1" applyBorder="1" applyAlignment="1" applyProtection="1">
      <alignment vertical="center"/>
    </xf>
    <xf numFmtId="0" fontId="18" fillId="6" borderId="6" xfId="0" applyFont="1" applyFill="1" applyBorder="1" applyAlignment="1" applyProtection="1"/>
    <xf numFmtId="0" fontId="22" fillId="18" borderId="254" xfId="0" applyFont="1" applyFill="1" applyBorder="1" applyAlignment="1" applyProtection="1"/>
    <xf numFmtId="0" fontId="18" fillId="0" borderId="95" xfId="0" applyFont="1" applyFill="1" applyBorder="1" applyAlignment="1" applyProtection="1">
      <protection locked="0"/>
    </xf>
    <xf numFmtId="0" fontId="18" fillId="0" borderId="102" xfId="0" applyFont="1" applyFill="1" applyBorder="1" applyAlignment="1" applyProtection="1">
      <protection locked="0"/>
    </xf>
    <xf numFmtId="0" fontId="18" fillId="0" borderId="88" xfId="0" applyFont="1" applyFill="1" applyBorder="1" applyAlignment="1" applyProtection="1">
      <protection locked="0"/>
    </xf>
    <xf numFmtId="0" fontId="18" fillId="0" borderId="115" xfId="0" applyFont="1" applyFill="1" applyBorder="1" applyAlignment="1" applyProtection="1">
      <protection locked="0"/>
    </xf>
    <xf numFmtId="0" fontId="18" fillId="0" borderId="453" xfId="0" applyFont="1" applyFill="1" applyBorder="1" applyAlignment="1" applyProtection="1">
      <protection locked="0"/>
    </xf>
    <xf numFmtId="0" fontId="18" fillId="0" borderId="454" xfId="0" applyFont="1" applyFill="1" applyBorder="1" applyAlignment="1" applyProtection="1">
      <protection locked="0"/>
    </xf>
    <xf numFmtId="0" fontId="18" fillId="0" borderId="81" xfId="0" applyFont="1" applyFill="1" applyBorder="1" applyAlignment="1" applyProtection="1">
      <protection locked="0"/>
    </xf>
    <xf numFmtId="0" fontId="18" fillId="0" borderId="87" xfId="0" applyFont="1" applyFill="1" applyBorder="1" applyAlignment="1" applyProtection="1">
      <protection locked="0"/>
    </xf>
    <xf numFmtId="0" fontId="46" fillId="0" borderId="0" xfId="0" applyFont="1" applyFill="1" applyBorder="1" applyAlignment="1" applyProtection="1"/>
    <xf numFmtId="0" fontId="18" fillId="0" borderId="95" xfId="0" applyFont="1" applyFill="1" applyBorder="1" applyAlignment="1" applyProtection="1">
      <alignment vertical="center"/>
      <protection locked="0"/>
    </xf>
    <xf numFmtId="0" fontId="18" fillId="0" borderId="102" xfId="0" applyFont="1" applyFill="1" applyBorder="1" applyAlignment="1" applyProtection="1">
      <alignment vertical="center"/>
      <protection locked="0"/>
    </xf>
    <xf numFmtId="0" fontId="18" fillId="0" borderId="81" xfId="0" applyFont="1" applyFill="1" applyBorder="1" applyAlignment="1" applyProtection="1">
      <alignment vertical="center"/>
      <protection locked="0"/>
    </xf>
    <xf numFmtId="0" fontId="18" fillId="0" borderId="87" xfId="0" applyFont="1" applyFill="1" applyBorder="1" applyAlignment="1" applyProtection="1">
      <alignment vertical="center"/>
      <protection locked="0"/>
    </xf>
    <xf numFmtId="0" fontId="18" fillId="0" borderId="88" xfId="0" applyFont="1" applyFill="1" applyBorder="1" applyAlignment="1" applyProtection="1">
      <alignment vertical="center"/>
      <protection locked="0"/>
    </xf>
    <xf numFmtId="0" fontId="18" fillId="0" borderId="115" xfId="0" applyFont="1" applyFill="1" applyBorder="1" applyAlignment="1" applyProtection="1">
      <alignment vertical="center"/>
      <protection locked="0"/>
    </xf>
    <xf numFmtId="0" fontId="22" fillId="18" borderId="254" xfId="0" applyFont="1" applyFill="1" applyBorder="1" applyAlignment="1" applyProtection="1">
      <alignment wrapText="1"/>
    </xf>
    <xf numFmtId="0" fontId="22" fillId="18" borderId="255" xfId="0" applyFont="1" applyFill="1" applyBorder="1" applyAlignment="1" applyProtection="1">
      <alignment wrapText="1"/>
    </xf>
    <xf numFmtId="0" fontId="18" fillId="0" borderId="542" xfId="0" applyFont="1" applyFill="1" applyBorder="1" applyAlignment="1" applyProtection="1">
      <protection locked="0"/>
    </xf>
    <xf numFmtId="0" fontId="18" fillId="0" borderId="543" xfId="0" applyFont="1" applyFill="1" applyBorder="1" applyAlignment="1" applyProtection="1">
      <protection locked="0"/>
    </xf>
    <xf numFmtId="0" fontId="18" fillId="0" borderId="545" xfId="0" applyFont="1" applyFill="1" applyBorder="1" applyAlignment="1" applyProtection="1">
      <protection locked="0"/>
    </xf>
    <xf numFmtId="0" fontId="18" fillId="0" borderId="546" xfId="0" applyFont="1" applyFill="1" applyBorder="1" applyAlignment="1" applyProtection="1">
      <protection locked="0"/>
    </xf>
    <xf numFmtId="0" fontId="18" fillId="0" borderId="547" xfId="0" applyFont="1" applyFill="1" applyBorder="1" applyAlignment="1" applyProtection="1">
      <protection locked="0"/>
    </xf>
    <xf numFmtId="0" fontId="18" fillId="0" borderId="548" xfId="0" applyFont="1" applyFill="1" applyBorder="1" applyAlignment="1" applyProtection="1">
      <protection locked="0"/>
    </xf>
    <xf numFmtId="0" fontId="22" fillId="0" borderId="13" xfId="0" applyFont="1" applyFill="1" applyBorder="1" applyAlignment="1" applyProtection="1"/>
    <xf numFmtId="0" fontId="23" fillId="14" borderId="0" xfId="0" applyFont="1" applyFill="1" applyBorder="1" applyAlignment="1" applyProtection="1"/>
    <xf numFmtId="0" fontId="50" fillId="0" borderId="14" xfId="0" applyFont="1" applyBorder="1" applyAlignment="1" applyProtection="1">
      <alignment horizontal="left" vertical="top" wrapText="1"/>
      <protection locked="0"/>
    </xf>
    <xf numFmtId="0" fontId="50" fillId="0" borderId="18" xfId="0" applyFont="1" applyBorder="1" applyAlignment="1" applyProtection="1">
      <alignment horizontal="left" vertical="top" wrapText="1"/>
      <protection locked="0"/>
    </xf>
    <xf numFmtId="0" fontId="50" fillId="0" borderId="20" xfId="0" applyFont="1" applyBorder="1" applyAlignment="1" applyProtection="1">
      <alignment horizontal="left" vertical="top" wrapText="1"/>
      <protection locked="0"/>
    </xf>
    <xf numFmtId="0" fontId="50" fillId="0" borderId="24"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5" xfId="0" applyFont="1" applyBorder="1" applyAlignment="1" applyProtection="1">
      <alignment horizontal="left" vertical="top" wrapText="1"/>
      <protection locked="0"/>
    </xf>
    <xf numFmtId="0" fontId="50" fillId="0" borderId="15" xfId="0" applyFont="1" applyBorder="1" applyAlignment="1" applyProtection="1">
      <alignment horizontal="left" vertical="top" wrapText="1"/>
      <protection locked="0"/>
    </xf>
    <xf numFmtId="0" fontId="50" fillId="0" borderId="6"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9" fillId="6" borderId="6" xfId="0" applyFont="1" applyFill="1" applyBorder="1" applyAlignment="1" applyProtection="1">
      <alignment horizontal="left"/>
    </xf>
    <xf numFmtId="0" fontId="22" fillId="18" borderId="264" xfId="0" applyFont="1" applyFill="1" applyBorder="1" applyAlignment="1" applyProtection="1">
      <alignment horizontal="center" vertical="center"/>
    </xf>
    <xf numFmtId="0" fontId="22" fillId="18" borderId="338" xfId="0" applyFont="1" applyFill="1" applyBorder="1" applyAlignment="1" applyProtection="1">
      <alignment horizontal="center" vertical="center"/>
    </xf>
    <xf numFmtId="0" fontId="22" fillId="18" borderId="266" xfId="0" applyFont="1" applyFill="1" applyBorder="1" applyAlignment="1" applyProtection="1">
      <alignment horizontal="center" vertical="center"/>
    </xf>
    <xf numFmtId="0" fontId="22" fillId="18" borderId="11" xfId="0" applyFont="1" applyFill="1" applyBorder="1" applyAlignment="1" applyProtection="1">
      <alignment horizontal="center" vertical="center"/>
    </xf>
    <xf numFmtId="0" fontId="22" fillId="18" borderId="461" xfId="0" applyFont="1" applyFill="1" applyBorder="1" applyAlignment="1" applyProtection="1">
      <alignment horizontal="center" vertical="center"/>
    </xf>
    <xf numFmtId="0" fontId="22" fillId="18" borderId="462" xfId="0" applyFont="1" applyFill="1" applyBorder="1" applyAlignment="1" applyProtection="1">
      <alignment horizontal="center" vertical="center"/>
    </xf>
    <xf numFmtId="0" fontId="22" fillId="18" borderId="474" xfId="0" applyFont="1" applyFill="1" applyBorder="1" applyAlignment="1" applyProtection="1">
      <alignment horizontal="center" vertical="center" wrapText="1"/>
    </xf>
    <xf numFmtId="0" fontId="22" fillId="18" borderId="5" xfId="0" applyFont="1" applyFill="1" applyBorder="1" applyAlignment="1" applyProtection="1">
      <alignment horizontal="center" vertical="center" wrapText="1"/>
    </xf>
    <xf numFmtId="0" fontId="46" fillId="18" borderId="474" xfId="0" applyFont="1" applyFill="1" applyBorder="1" applyAlignment="1" applyProtection="1">
      <alignment horizontal="center" vertical="center" wrapText="1"/>
    </xf>
    <xf numFmtId="0" fontId="46" fillId="18" borderId="5" xfId="0" applyFont="1" applyFill="1" applyBorder="1" applyAlignment="1" applyProtection="1">
      <alignment horizontal="center" vertical="center" wrapText="1"/>
    </xf>
    <xf numFmtId="0" fontId="43" fillId="0" borderId="81" xfId="0" applyFont="1" applyFill="1" applyBorder="1" applyAlignment="1" applyProtection="1">
      <alignment vertical="center" wrapText="1"/>
      <protection locked="0"/>
    </xf>
    <xf numFmtId="0" fontId="43" fillId="0" borderId="86" xfId="0" applyFont="1" applyFill="1" applyBorder="1" applyAlignment="1" applyProtection="1">
      <alignment vertical="center" wrapText="1"/>
      <protection locked="0"/>
    </xf>
    <xf numFmtId="0" fontId="43" fillId="0" borderId="182" xfId="0" applyFont="1" applyFill="1" applyBorder="1" applyAlignment="1" applyProtection="1">
      <alignment vertical="center" wrapText="1"/>
      <protection locked="0"/>
    </xf>
    <xf numFmtId="0" fontId="43" fillId="0" borderId="263" xfId="0" applyFont="1" applyFill="1" applyBorder="1" applyAlignment="1" applyProtection="1">
      <alignment vertical="center" wrapText="1"/>
      <protection locked="0"/>
    </xf>
    <xf numFmtId="0" fontId="43" fillId="0" borderId="268" xfId="0" applyFont="1" applyFill="1" applyBorder="1" applyAlignment="1" applyProtection="1">
      <alignment vertical="center" wrapText="1"/>
      <protection locked="0"/>
    </xf>
    <xf numFmtId="0" fontId="43" fillId="0" borderId="289" xfId="0" applyFont="1" applyFill="1" applyBorder="1" applyAlignment="1" applyProtection="1">
      <alignment vertical="center" wrapText="1"/>
      <protection locked="0"/>
    </xf>
    <xf numFmtId="0" fontId="43" fillId="0" borderId="136" xfId="0" applyFont="1" applyFill="1" applyBorder="1" applyAlignment="1" applyProtection="1">
      <alignment vertical="center" wrapText="1"/>
      <protection locked="0"/>
    </xf>
    <xf numFmtId="0" fontId="43" fillId="0" borderId="125" xfId="0" applyFont="1" applyFill="1" applyBorder="1" applyAlignment="1" applyProtection="1">
      <alignment vertical="center" wrapText="1"/>
      <protection locked="0"/>
    </xf>
    <xf numFmtId="0" fontId="43" fillId="0" borderId="183" xfId="0" applyFont="1" applyFill="1" applyBorder="1" applyAlignment="1" applyProtection="1">
      <alignment vertical="center" wrapText="1"/>
      <protection locked="0"/>
    </xf>
    <xf numFmtId="0" fontId="46" fillId="18" borderId="114" xfId="0" applyFont="1" applyFill="1" applyBorder="1" applyAlignment="1" applyProtection="1">
      <alignment vertical="center"/>
    </xf>
    <xf numFmtId="0" fontId="46" fillId="18" borderId="85" xfId="0" applyFont="1" applyFill="1" applyBorder="1" applyAlignment="1" applyProtection="1">
      <alignment vertical="center"/>
    </xf>
    <xf numFmtId="0" fontId="46" fillId="18" borderId="184" xfId="0" applyFont="1" applyFill="1" applyBorder="1" applyAlignment="1" applyProtection="1">
      <alignment vertical="center"/>
    </xf>
    <xf numFmtId="0" fontId="22" fillId="18" borderId="438" xfId="0" applyFont="1" applyFill="1" applyBorder="1" applyAlignment="1" applyProtection="1">
      <alignment horizontal="center" vertical="center"/>
    </xf>
    <xf numFmtId="0" fontId="22" fillId="18" borderId="12" xfId="0" applyFont="1" applyFill="1" applyBorder="1" applyAlignment="1" applyProtection="1">
      <alignment horizontal="center" vertical="center"/>
    </xf>
    <xf numFmtId="0" fontId="22" fillId="18" borderId="13" xfId="0" applyFont="1" applyFill="1" applyBorder="1" applyAlignment="1" applyProtection="1">
      <alignment horizontal="center" vertical="center"/>
    </xf>
    <xf numFmtId="0" fontId="22" fillId="18" borderId="267" xfId="0" applyFont="1" applyFill="1" applyBorder="1" applyAlignment="1" applyProtection="1">
      <alignment horizontal="center" vertical="center" wrapText="1"/>
    </xf>
    <xf numFmtId="0" fontId="43" fillId="0" borderId="263" xfId="0" applyFont="1" applyFill="1" applyBorder="1" applyAlignment="1" applyProtection="1">
      <alignment vertical="center"/>
      <protection locked="0"/>
    </xf>
    <xf numFmtId="0" fontId="43" fillId="0" borderId="443" xfId="0" applyFont="1" applyFill="1" applyBorder="1" applyAlignment="1" applyProtection="1">
      <alignment vertical="center"/>
      <protection locked="0"/>
    </xf>
    <xf numFmtId="0" fontId="43" fillId="0" borderId="289" xfId="0" applyFont="1" applyFill="1" applyBorder="1" applyAlignment="1" applyProtection="1">
      <alignment vertical="center"/>
      <protection locked="0"/>
    </xf>
    <xf numFmtId="0" fontId="43" fillId="0" borderId="81" xfId="0" applyFont="1" applyFill="1" applyBorder="1" applyAlignment="1" applyProtection="1">
      <alignment vertical="center"/>
      <protection locked="0"/>
    </xf>
    <xf numFmtId="0" fontId="43" fillId="0" borderId="86" xfId="0" applyFont="1" applyFill="1" applyBorder="1" applyAlignment="1" applyProtection="1">
      <alignment vertical="center"/>
      <protection locked="0"/>
    </xf>
    <xf numFmtId="0" fontId="43" fillId="0" borderId="182" xfId="0" applyFont="1" applyFill="1" applyBorder="1" applyAlignment="1" applyProtection="1">
      <alignment vertical="center"/>
      <protection locked="0"/>
    </xf>
    <xf numFmtId="0" fontId="43" fillId="0" borderId="136" xfId="0" applyFont="1" applyFill="1" applyBorder="1" applyAlignment="1" applyProtection="1">
      <alignment vertical="center"/>
      <protection locked="0"/>
    </xf>
    <xf numFmtId="0" fontId="43" fillId="0" borderId="125" xfId="0" applyFont="1" applyFill="1" applyBorder="1" applyAlignment="1" applyProtection="1">
      <alignment vertical="center"/>
      <protection locked="0"/>
    </xf>
    <xf numFmtId="0" fontId="43" fillId="0" borderId="183" xfId="0" applyFont="1" applyFill="1" applyBorder="1" applyAlignment="1" applyProtection="1">
      <alignment vertical="center"/>
      <protection locked="0"/>
    </xf>
    <xf numFmtId="0" fontId="18" fillId="0" borderId="60" xfId="0" applyFont="1" applyFill="1" applyBorder="1" applyProtection="1">
      <protection locked="0"/>
    </xf>
    <xf numFmtId="0" fontId="18" fillId="0" borderId="58" xfId="0" applyFont="1" applyFill="1" applyBorder="1" applyProtection="1">
      <protection locked="0"/>
    </xf>
    <xf numFmtId="0" fontId="18" fillId="0" borderId="61" xfId="0" applyFont="1" applyFill="1" applyBorder="1" applyProtection="1">
      <protection locked="0"/>
    </xf>
    <xf numFmtId="0" fontId="18" fillId="0" borderId="153" xfId="0" applyFont="1" applyFill="1" applyBorder="1" applyProtection="1">
      <protection locked="0"/>
    </xf>
    <xf numFmtId="0" fontId="20" fillId="18" borderId="287" xfId="0" applyFont="1" applyFill="1" applyBorder="1" applyAlignment="1" applyProtection="1">
      <alignment horizontal="left"/>
    </xf>
    <xf numFmtId="0" fontId="20" fillId="18" borderId="251" xfId="0" applyFont="1" applyFill="1" applyBorder="1" applyAlignment="1" applyProtection="1">
      <alignment horizontal="left"/>
    </xf>
    <xf numFmtId="0" fontId="20" fillId="18" borderId="252" xfId="0" applyFont="1" applyFill="1" applyBorder="1" applyAlignment="1" applyProtection="1">
      <alignment horizontal="left"/>
    </xf>
    <xf numFmtId="0" fontId="18" fillId="0" borderId="455" xfId="0" applyFont="1" applyFill="1" applyBorder="1" applyAlignment="1" applyProtection="1">
      <alignment horizontal="left" vertical="top" wrapText="1"/>
      <protection locked="0"/>
    </xf>
    <xf numFmtId="0" fontId="18" fillId="0" borderId="438" xfId="0" applyFont="1" applyFill="1" applyBorder="1" applyAlignment="1" applyProtection="1">
      <alignment horizontal="left" vertical="top" wrapText="1"/>
      <protection locked="0"/>
    </xf>
    <xf numFmtId="0" fontId="18" fillId="0" borderId="444" xfId="0" applyFont="1" applyFill="1" applyBorder="1" applyAlignment="1" applyProtection="1">
      <alignment horizontal="left" vertical="top" wrapText="1"/>
      <protection locked="0"/>
    </xf>
    <xf numFmtId="0" fontId="18" fillId="0" borderId="421" xfId="0" applyFont="1" applyFill="1" applyBorder="1" applyAlignment="1" applyProtection="1">
      <alignment wrapText="1"/>
      <protection locked="0"/>
    </xf>
    <xf numFmtId="0" fontId="18" fillId="0" borderId="481" xfId="0" applyFont="1" applyFill="1" applyBorder="1" applyAlignment="1" applyProtection="1">
      <alignment wrapText="1"/>
      <protection locked="0"/>
    </xf>
    <xf numFmtId="0" fontId="18" fillId="18" borderId="287" xfId="0" applyFont="1" applyFill="1" applyBorder="1" applyAlignment="1" applyProtection="1">
      <alignment wrapText="1"/>
    </xf>
    <xf numFmtId="0" fontId="18" fillId="18" borderId="447" xfId="0" applyFont="1" applyFill="1" applyBorder="1" applyAlignment="1" applyProtection="1">
      <alignment wrapText="1"/>
    </xf>
    <xf numFmtId="0" fontId="18" fillId="0" borderId="421" xfId="0" applyFont="1" applyFill="1" applyBorder="1" applyProtection="1">
      <protection locked="0"/>
    </xf>
    <xf numFmtId="0" fontId="18" fillId="0" borderId="481" xfId="0" applyFont="1" applyFill="1" applyBorder="1" applyProtection="1">
      <protection locked="0"/>
    </xf>
    <xf numFmtId="0" fontId="0" fillId="0" borderId="79" xfId="0" applyFont="1" applyFill="1" applyBorder="1" applyProtection="1">
      <protection locked="0"/>
    </xf>
    <xf numFmtId="0" fontId="0" fillId="0" borderId="77" xfId="0" applyFont="1" applyFill="1" applyBorder="1" applyProtection="1">
      <protection locked="0"/>
    </xf>
    <xf numFmtId="0" fontId="0" fillId="0" borderId="80" xfId="0" applyFont="1" applyFill="1" applyBorder="1" applyProtection="1">
      <protection locked="0"/>
    </xf>
    <xf numFmtId="166" fontId="20" fillId="18" borderId="287" xfId="0" applyNumberFormat="1" applyFont="1" applyFill="1" applyBorder="1" applyAlignment="1" applyProtection="1">
      <alignment horizontal="center"/>
    </xf>
    <xf numFmtId="166" fontId="20" fillId="18" borderId="452" xfId="0" applyNumberFormat="1" applyFont="1" applyFill="1" applyBorder="1" applyAlignment="1" applyProtection="1">
      <alignment horizontal="center"/>
    </xf>
    <xf numFmtId="166" fontId="20" fillId="18" borderId="428" xfId="0" applyNumberFormat="1" applyFont="1" applyFill="1" applyBorder="1" applyAlignment="1" applyProtection="1">
      <alignment horizontal="center"/>
    </xf>
    <xf numFmtId="0" fontId="18" fillId="0" borderId="598" xfId="0" applyFont="1" applyFill="1" applyBorder="1" applyAlignment="1" applyProtection="1">
      <alignment horizontal="left" vertical="top" wrapText="1"/>
      <protection locked="0"/>
    </xf>
    <xf numFmtId="0" fontId="18" fillId="0" borderId="338" xfId="0" applyFont="1" applyFill="1" applyBorder="1" applyAlignment="1" applyProtection="1">
      <alignment horizontal="left" vertical="top" wrapText="1"/>
      <protection locked="0"/>
    </xf>
    <xf numFmtId="0" fontId="18" fillId="0" borderId="581"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461" xfId="0" applyFont="1" applyFill="1" applyBorder="1" applyAlignment="1" applyProtection="1">
      <alignment horizontal="left" vertical="top" wrapText="1"/>
      <protection locked="0"/>
    </xf>
    <xf numFmtId="0" fontId="18" fillId="0" borderId="462" xfId="0" applyFont="1" applyFill="1" applyBorder="1" applyAlignment="1" applyProtection="1">
      <alignment horizontal="left" vertical="top" wrapText="1"/>
      <protection locked="0"/>
    </xf>
    <xf numFmtId="3" fontId="20" fillId="0" borderId="11" xfId="0" applyNumberFormat="1" applyFont="1" applyFill="1" applyBorder="1" applyProtection="1"/>
    <xf numFmtId="3" fontId="20" fillId="0" borderId="12" xfId="0" applyNumberFormat="1" applyFont="1" applyFill="1" applyBorder="1" applyProtection="1"/>
    <xf numFmtId="0" fontId="20" fillId="18" borderId="287" xfId="0" applyFont="1" applyFill="1" applyBorder="1" applyAlignment="1" applyProtection="1">
      <alignment horizontal="center"/>
    </xf>
    <xf numFmtId="0" fontId="20" fillId="18" borderId="452" xfId="0" applyFont="1" applyFill="1" applyBorder="1" applyAlignment="1" applyProtection="1">
      <alignment horizontal="center"/>
    </xf>
    <xf numFmtId="0" fontId="20" fillId="18" borderId="251" xfId="0" applyFont="1" applyFill="1" applyBorder="1" applyAlignment="1" applyProtection="1">
      <alignment horizontal="center"/>
    </xf>
    <xf numFmtId="0" fontId="20" fillId="18" borderId="252" xfId="0" applyFont="1" applyFill="1" applyBorder="1" applyAlignment="1" applyProtection="1">
      <alignment horizontal="center"/>
    </xf>
    <xf numFmtId="0" fontId="18" fillId="0" borderId="489" xfId="0" applyFont="1" applyFill="1" applyBorder="1" applyAlignment="1" applyProtection="1">
      <alignment wrapText="1"/>
      <protection locked="0"/>
    </xf>
    <xf numFmtId="0" fontId="18" fillId="0" borderId="490" xfId="0" applyFont="1" applyFill="1" applyBorder="1" applyAlignment="1" applyProtection="1">
      <alignment wrapText="1"/>
      <protection locked="0"/>
    </xf>
    <xf numFmtId="0" fontId="43" fillId="0" borderId="443" xfId="0" applyFont="1" applyFill="1" applyBorder="1" applyAlignment="1" applyProtection="1">
      <alignment vertical="center" wrapText="1"/>
      <protection locked="0"/>
    </xf>
    <xf numFmtId="0" fontId="43" fillId="0" borderId="334" xfId="0" applyFont="1" applyFill="1" applyBorder="1" applyAlignment="1" applyProtection="1">
      <alignment vertical="center"/>
    </xf>
    <xf numFmtId="0" fontId="40" fillId="24" borderId="0" xfId="0" applyFont="1" applyFill="1" applyBorder="1" applyAlignment="1" applyProtection="1">
      <alignment vertical="center"/>
    </xf>
    <xf numFmtId="0" fontId="46" fillId="18" borderId="287" xfId="0" applyFont="1" applyFill="1" applyBorder="1" applyAlignment="1" applyProtection="1">
      <alignment horizontal="center" vertical="center"/>
    </xf>
    <xf numFmtId="0" fontId="46" fillId="18" borderId="252" xfId="0" applyFont="1" applyFill="1" applyBorder="1" applyAlignment="1" applyProtection="1">
      <alignment horizontal="center" vertical="center"/>
    </xf>
    <xf numFmtId="49" fontId="43" fillId="0" borderId="263" xfId="0" applyNumberFormat="1" applyFont="1" applyFill="1" applyBorder="1" applyAlignment="1" applyProtection="1">
      <alignment horizontal="left" vertical="center"/>
    </xf>
    <xf numFmtId="0" fontId="43" fillId="0" borderId="268" xfId="0" applyNumberFormat="1" applyFont="1" applyFill="1" applyBorder="1" applyAlignment="1" applyProtection="1">
      <alignment horizontal="left" vertical="center"/>
    </xf>
    <xf numFmtId="0" fontId="43" fillId="0" borderId="366" xfId="0" applyNumberFormat="1" applyFont="1" applyFill="1" applyBorder="1" applyAlignment="1" applyProtection="1">
      <alignment horizontal="left" vertical="center"/>
    </xf>
    <xf numFmtId="44" fontId="43" fillId="0" borderId="367" xfId="0" applyNumberFormat="1" applyFont="1" applyFill="1" applyBorder="1" applyAlignment="1" applyProtection="1">
      <alignment horizontal="right" vertical="center"/>
    </xf>
    <xf numFmtId="44" fontId="43" fillId="0" borderId="269" xfId="0" applyNumberFormat="1" applyFont="1" applyFill="1" applyBorder="1" applyAlignment="1" applyProtection="1">
      <alignment horizontal="right" vertical="center"/>
    </xf>
    <xf numFmtId="49" fontId="43" fillId="0" borderId="81" xfId="0" applyNumberFormat="1" applyFont="1" applyFill="1" applyBorder="1" applyAlignment="1" applyProtection="1">
      <alignment vertical="center"/>
    </xf>
    <xf numFmtId="0" fontId="43" fillId="0" borderId="86" xfId="0" applyNumberFormat="1" applyFont="1" applyFill="1" applyBorder="1" applyAlignment="1" applyProtection="1">
      <alignment vertical="center"/>
    </xf>
    <xf numFmtId="0" fontId="43" fillId="0" borderId="368" xfId="0" applyNumberFormat="1" applyFont="1" applyFill="1" applyBorder="1" applyAlignment="1" applyProtection="1">
      <alignment vertical="center"/>
    </xf>
    <xf numFmtId="44" fontId="43" fillId="0" borderId="369" xfId="0" applyNumberFormat="1" applyFont="1" applyFill="1" applyBorder="1" applyAlignment="1" applyProtection="1">
      <alignment horizontal="right" vertical="center"/>
    </xf>
    <xf numFmtId="44" fontId="43" fillId="0" borderId="87" xfId="0" applyNumberFormat="1" applyFont="1" applyFill="1" applyBorder="1" applyAlignment="1" applyProtection="1">
      <alignment horizontal="right" vertical="center"/>
    </xf>
    <xf numFmtId="49" fontId="43" fillId="0" borderId="88" xfId="0" applyNumberFormat="1" applyFont="1" applyFill="1" applyBorder="1" applyAlignment="1" applyProtection="1">
      <alignment horizontal="left" vertical="center"/>
    </xf>
    <xf numFmtId="49" fontId="43" fillId="0" borderId="89" xfId="0" applyNumberFormat="1" applyFont="1" applyFill="1" applyBorder="1" applyAlignment="1" applyProtection="1">
      <alignment horizontal="left" vertical="center"/>
    </xf>
    <xf numFmtId="49" fontId="43" fillId="0" borderId="370" xfId="0" applyNumberFormat="1" applyFont="1" applyFill="1" applyBorder="1" applyAlignment="1" applyProtection="1">
      <alignment horizontal="left" vertical="center"/>
    </xf>
    <xf numFmtId="44" fontId="43" fillId="0" borderId="398" xfId="0" applyNumberFormat="1" applyFont="1" applyFill="1" applyBorder="1" applyAlignment="1" applyProtection="1">
      <alignment horizontal="right" vertical="center"/>
    </xf>
    <xf numFmtId="44" fontId="43" fillId="0" borderId="115" xfId="0" applyNumberFormat="1" applyFont="1" applyFill="1" applyBorder="1" applyAlignment="1" applyProtection="1">
      <alignment horizontal="right" vertical="center"/>
    </xf>
    <xf numFmtId="0" fontId="66" fillId="0" borderId="0" xfId="0" applyFont="1" applyFill="1" applyBorder="1" applyAlignment="1" applyProtection="1">
      <alignment horizontal="right" vertical="center"/>
    </xf>
    <xf numFmtId="0" fontId="66" fillId="0" borderId="3" xfId="0" applyFont="1" applyFill="1" applyBorder="1" applyAlignment="1" applyProtection="1">
      <alignment horizontal="right" vertical="center"/>
    </xf>
    <xf numFmtId="0" fontId="18" fillId="0" borderId="0" xfId="0" applyFont="1" applyFill="1" applyAlignment="1" applyProtection="1">
      <alignment horizontal="right" vertical="center"/>
    </xf>
    <xf numFmtId="0" fontId="18" fillId="0" borderId="3" xfId="0" applyFont="1" applyFill="1" applyBorder="1" applyAlignment="1" applyProtection="1">
      <alignment horizontal="right" vertical="center"/>
    </xf>
    <xf numFmtId="49" fontId="18" fillId="6" borderId="61" xfId="0" applyNumberFormat="1" applyFont="1" applyFill="1" applyBorder="1" applyAlignment="1" applyProtection="1">
      <alignment horizontal="left"/>
    </xf>
    <xf numFmtId="49" fontId="18" fillId="6" borderId="336" xfId="0" applyNumberFormat="1" applyFont="1" applyFill="1" applyBorder="1" applyAlignment="1" applyProtection="1">
      <alignment horizontal="left"/>
    </xf>
    <xf numFmtId="49" fontId="18" fillId="6" borderId="314" xfId="0" applyNumberFormat="1" applyFont="1" applyFill="1" applyBorder="1" applyAlignment="1" applyProtection="1">
      <alignment horizontal="left"/>
    </xf>
    <xf numFmtId="0" fontId="18" fillId="6" borderId="60" xfId="0" applyNumberFormat="1" applyFont="1" applyFill="1" applyBorder="1" applyAlignment="1" applyProtection="1"/>
    <xf numFmtId="0" fontId="18" fillId="6" borderId="332" xfId="0" applyNumberFormat="1" applyFont="1" applyFill="1" applyBorder="1" applyAlignment="1" applyProtection="1"/>
    <xf numFmtId="0" fontId="18" fillId="6" borderId="330" xfId="0" applyNumberFormat="1" applyFont="1" applyFill="1" applyBorder="1" applyAlignment="1" applyProtection="1"/>
    <xf numFmtId="0" fontId="18" fillId="6" borderId="489" xfId="0" applyNumberFormat="1" applyFont="1" applyFill="1" applyBorder="1" applyAlignment="1" applyProtection="1"/>
    <xf numFmtId="0" fontId="18" fillId="6" borderId="333" xfId="0" applyNumberFormat="1" applyFont="1" applyFill="1" applyBorder="1" applyAlignment="1" applyProtection="1"/>
    <xf numFmtId="0" fontId="18" fillId="6" borderId="313" xfId="0" applyNumberFormat="1" applyFont="1" applyFill="1" applyBorder="1" applyAlignment="1" applyProtection="1"/>
    <xf numFmtId="0" fontId="66" fillId="0" borderId="353" xfId="0" applyFont="1" applyFill="1" applyBorder="1" applyAlignment="1" applyProtection="1">
      <alignment horizontal="right" vertical="center"/>
    </xf>
    <xf numFmtId="0" fontId="66" fillId="0" borderId="354" xfId="0" applyFont="1" applyFill="1" applyBorder="1" applyAlignment="1" applyProtection="1">
      <alignment horizontal="right" vertical="center"/>
    </xf>
    <xf numFmtId="0" fontId="46" fillId="6" borderId="79" xfId="0" applyNumberFormat="1" applyFont="1" applyFill="1" applyBorder="1" applyAlignment="1" applyProtection="1">
      <alignment vertical="center"/>
    </xf>
    <xf numFmtId="0" fontId="46" fillId="6" borderId="77" xfId="0" applyNumberFormat="1" applyFont="1" applyFill="1" applyBorder="1" applyAlignment="1" applyProtection="1">
      <alignment vertical="center"/>
    </xf>
    <xf numFmtId="0" fontId="18" fillId="6" borderId="60" xfId="0" applyNumberFormat="1" applyFont="1" applyFill="1" applyBorder="1" applyAlignment="1" applyProtection="1">
      <alignment horizontal="left"/>
    </xf>
    <xf numFmtId="0" fontId="18" fillId="6" borderId="332" xfId="0" applyNumberFormat="1" applyFont="1" applyFill="1" applyBorder="1" applyAlignment="1" applyProtection="1">
      <alignment horizontal="left"/>
    </xf>
    <xf numFmtId="0" fontId="18" fillId="6" borderId="330" xfId="0" applyNumberFormat="1" applyFont="1" applyFill="1" applyBorder="1" applyAlignment="1" applyProtection="1">
      <alignment horizontal="left"/>
    </xf>
    <xf numFmtId="0" fontId="18" fillId="6" borderId="336" xfId="0" applyNumberFormat="1" applyFont="1" applyFill="1" applyBorder="1" applyAlignment="1" applyProtection="1">
      <alignment horizontal="left"/>
    </xf>
    <xf numFmtId="0" fontId="18" fillId="6" borderId="314" xfId="0" applyNumberFormat="1" applyFont="1" applyFill="1" applyBorder="1" applyAlignment="1" applyProtection="1">
      <alignment horizontal="left"/>
    </xf>
    <xf numFmtId="0" fontId="18" fillId="6" borderId="331" xfId="0" applyNumberFormat="1" applyFont="1" applyFill="1" applyBorder="1" applyAlignment="1" applyProtection="1"/>
    <xf numFmtId="0" fontId="18" fillId="6" borderId="331" xfId="0" applyNumberFormat="1" applyFont="1" applyFill="1" applyBorder="1" applyAlignment="1" applyProtection="1">
      <alignment horizontal="left"/>
    </xf>
    <xf numFmtId="0" fontId="18" fillId="6" borderId="333" xfId="0" applyNumberFormat="1" applyFont="1" applyFill="1" applyBorder="1" applyAlignment="1" applyProtection="1">
      <alignment horizontal="left"/>
    </xf>
    <xf numFmtId="0" fontId="18" fillId="6" borderId="313" xfId="0" applyNumberFormat="1" applyFont="1" applyFill="1" applyBorder="1" applyAlignment="1" applyProtection="1">
      <alignment horizontal="left"/>
    </xf>
    <xf numFmtId="44" fontId="43" fillId="0" borderId="367" xfId="0" applyNumberFormat="1" applyFont="1" applyFill="1" applyBorder="1" applyAlignment="1" applyProtection="1">
      <alignment horizontal="right" vertical="center"/>
      <protection locked="0"/>
    </xf>
    <xf numFmtId="44" fontId="43" fillId="0" borderId="269" xfId="0" applyNumberFormat="1" applyFont="1" applyFill="1" applyBorder="1" applyAlignment="1" applyProtection="1">
      <alignment horizontal="right" vertical="center"/>
      <protection locked="0"/>
    </xf>
    <xf numFmtId="44" fontId="43" fillId="0" borderId="369" xfId="0" applyNumberFormat="1" applyFont="1" applyFill="1" applyBorder="1" applyAlignment="1" applyProtection="1">
      <alignment horizontal="right" vertical="center"/>
      <protection locked="0"/>
    </xf>
    <xf numFmtId="44" fontId="43" fillId="0" borderId="87" xfId="0" applyNumberFormat="1" applyFont="1" applyFill="1" applyBorder="1" applyAlignment="1" applyProtection="1">
      <alignment horizontal="right" vertical="center"/>
      <protection locked="0"/>
    </xf>
    <xf numFmtId="44" fontId="43" fillId="0" borderId="398" xfId="0" applyNumberFormat="1" applyFont="1" applyFill="1" applyBorder="1" applyAlignment="1" applyProtection="1">
      <alignment horizontal="right" vertical="center"/>
      <protection locked="0"/>
    </xf>
    <xf numFmtId="44" fontId="43" fillId="0" borderId="115" xfId="0" applyNumberFormat="1" applyFont="1" applyFill="1" applyBorder="1" applyAlignment="1" applyProtection="1">
      <alignment horizontal="right" vertical="center"/>
      <protection locked="0"/>
    </xf>
    <xf numFmtId="49" fontId="43" fillId="0" borderId="263" xfId="0" applyNumberFormat="1" applyFont="1" applyFill="1" applyBorder="1" applyAlignment="1" applyProtection="1">
      <alignment horizontal="left" vertical="center"/>
      <protection locked="0"/>
    </xf>
    <xf numFmtId="49" fontId="43" fillId="0" borderId="268" xfId="0" applyNumberFormat="1" applyFont="1" applyFill="1" applyBorder="1" applyAlignment="1" applyProtection="1">
      <alignment horizontal="left" vertical="center"/>
      <protection locked="0"/>
    </xf>
    <xf numFmtId="49" fontId="43" fillId="0" borderId="366" xfId="0" applyNumberFormat="1" applyFont="1" applyFill="1" applyBorder="1" applyAlignment="1" applyProtection="1">
      <alignment horizontal="left" vertical="center"/>
      <protection locked="0"/>
    </xf>
    <xf numFmtId="49" fontId="43" fillId="0" borderId="81" xfId="0" applyNumberFormat="1" applyFont="1" applyFill="1" applyBorder="1" applyAlignment="1" applyProtection="1">
      <alignment horizontal="left" vertical="center"/>
      <protection locked="0"/>
    </xf>
    <xf numFmtId="49" fontId="43" fillId="0" borderId="86" xfId="0" applyNumberFormat="1" applyFont="1" applyFill="1" applyBorder="1" applyAlignment="1" applyProtection="1">
      <alignment horizontal="left" vertical="center"/>
      <protection locked="0"/>
    </xf>
    <xf numFmtId="49" fontId="43" fillId="0" borderId="368" xfId="0" applyNumberFormat="1" applyFont="1" applyFill="1" applyBorder="1" applyAlignment="1" applyProtection="1">
      <alignment horizontal="left" vertical="center"/>
      <protection locked="0"/>
    </xf>
    <xf numFmtId="49" fontId="43" fillId="0" borderId="88" xfId="0" applyNumberFormat="1" applyFont="1" applyFill="1" applyBorder="1" applyAlignment="1" applyProtection="1">
      <alignment horizontal="left" vertical="center"/>
      <protection locked="0"/>
    </xf>
    <xf numFmtId="49" fontId="43" fillId="0" borderId="89" xfId="0" applyNumberFormat="1" applyFont="1" applyFill="1" applyBorder="1" applyAlignment="1" applyProtection="1">
      <alignment horizontal="left" vertical="center"/>
      <protection locked="0"/>
    </xf>
    <xf numFmtId="49" fontId="43" fillId="0" borderId="370" xfId="0" applyNumberFormat="1" applyFont="1" applyFill="1" applyBorder="1" applyAlignment="1" applyProtection="1">
      <alignment horizontal="left" vertical="center"/>
      <protection locked="0"/>
    </xf>
    <xf numFmtId="49" fontId="43" fillId="0" borderId="81" xfId="0" applyNumberFormat="1" applyFont="1" applyFill="1" applyBorder="1" applyAlignment="1" applyProtection="1">
      <alignment vertical="center"/>
      <protection locked="0"/>
    </xf>
    <xf numFmtId="49" fontId="43" fillId="0" borderId="86" xfId="0" applyNumberFormat="1" applyFont="1" applyFill="1" applyBorder="1" applyAlignment="1" applyProtection="1">
      <alignment vertical="center"/>
      <protection locked="0"/>
    </xf>
    <xf numFmtId="49" fontId="43" fillId="0" borderId="368" xfId="0" applyNumberFormat="1" applyFont="1" applyFill="1" applyBorder="1" applyAlignment="1" applyProtection="1">
      <alignment vertical="center"/>
      <protection locked="0"/>
    </xf>
    <xf numFmtId="0" fontId="43" fillId="0" borderId="79" xfId="0" applyFont="1" applyFill="1" applyBorder="1" applyAlignment="1" applyProtection="1">
      <alignment vertical="center"/>
      <protection locked="0"/>
    </xf>
    <xf numFmtId="0" fontId="43" fillId="0" borderId="478" xfId="0" applyFont="1" applyFill="1" applyBorder="1" applyAlignment="1" applyProtection="1">
      <alignment vertical="center"/>
      <protection locked="0"/>
    </xf>
    <xf numFmtId="0" fontId="43" fillId="0" borderId="80" xfId="0" applyFont="1" applyFill="1" applyBorder="1" applyAlignment="1" applyProtection="1">
      <alignment vertical="center"/>
      <protection locked="0"/>
    </xf>
    <xf numFmtId="0" fontId="43" fillId="0" borderId="332" xfId="0" applyFont="1" applyFill="1" applyBorder="1" applyAlignment="1" applyProtection="1">
      <alignment vertical="center"/>
    </xf>
    <xf numFmtId="49" fontId="43" fillId="0" borderId="268" xfId="0" applyNumberFormat="1" applyFont="1" applyFill="1" applyBorder="1" applyAlignment="1" applyProtection="1">
      <alignment horizontal="left" vertical="center"/>
    </xf>
    <xf numFmtId="49" fontId="43" fillId="0" borderId="366" xfId="0" applyNumberFormat="1" applyFont="1" applyFill="1" applyBorder="1" applyAlignment="1" applyProtection="1">
      <alignment horizontal="left" vertical="center"/>
    </xf>
    <xf numFmtId="49" fontId="43" fillId="0" borderId="86" xfId="0" applyNumberFormat="1" applyFont="1" applyFill="1" applyBorder="1" applyAlignment="1" applyProtection="1">
      <alignment vertical="center"/>
    </xf>
    <xf numFmtId="49" fontId="43" fillId="0" borderId="368" xfId="0" applyNumberFormat="1" applyFont="1" applyFill="1" applyBorder="1" applyAlignment="1" applyProtection="1">
      <alignment vertical="center"/>
    </xf>
    <xf numFmtId="44" fontId="43" fillId="0" borderId="398" xfId="0" applyNumberFormat="1" applyFont="1" applyFill="1" applyBorder="1" applyAlignment="1" applyProtection="1">
      <alignment horizontal="center" vertical="center"/>
    </xf>
    <xf numFmtId="44" fontId="43" fillId="0" borderId="115" xfId="0" applyNumberFormat="1" applyFont="1" applyFill="1" applyBorder="1" applyAlignment="1" applyProtection="1">
      <alignment horizontal="center" vertical="center"/>
    </xf>
    <xf numFmtId="44" fontId="43" fillId="0" borderId="367" xfId="0" applyNumberFormat="1" applyFont="1" applyFill="1" applyBorder="1" applyAlignment="1" applyProtection="1">
      <alignment horizontal="center" vertical="center"/>
    </xf>
    <xf numFmtId="44" fontId="43" fillId="0" borderId="454" xfId="0" applyNumberFormat="1" applyFont="1" applyFill="1" applyBorder="1" applyAlignment="1" applyProtection="1">
      <alignment horizontal="center" vertical="center"/>
    </xf>
    <xf numFmtId="44" fontId="43" fillId="0" borderId="369" xfId="0" applyNumberFormat="1" applyFont="1" applyFill="1" applyBorder="1" applyAlignment="1" applyProtection="1">
      <alignment horizontal="center" vertical="center"/>
    </xf>
    <xf numFmtId="44" fontId="43" fillId="0" borderId="87" xfId="0" applyNumberFormat="1" applyFont="1" applyFill="1" applyBorder="1" applyAlignment="1" applyProtection="1">
      <alignment horizontal="center" vertical="center"/>
    </xf>
    <xf numFmtId="0" fontId="43" fillId="0" borderId="0"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18" fillId="0" borderId="460"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432" xfId="0" applyFont="1" applyBorder="1" applyAlignment="1" applyProtection="1">
      <alignment vertical="top" wrapText="1"/>
      <protection locked="0"/>
    </xf>
    <xf numFmtId="0" fontId="18" fillId="0" borderId="438" xfId="0" applyFont="1" applyBorder="1" applyAlignment="1" applyProtection="1">
      <alignment vertical="top" wrapText="1"/>
      <protection locked="0"/>
    </xf>
    <xf numFmtId="0" fontId="18" fillId="0" borderId="439" xfId="0"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461" xfId="0" applyFont="1" applyBorder="1" applyAlignment="1" applyProtection="1">
      <alignment vertical="top" wrapText="1"/>
      <protection locked="0"/>
    </xf>
    <xf numFmtId="0" fontId="18" fillId="0" borderId="462" xfId="0" applyFont="1" applyBorder="1" applyAlignment="1" applyProtection="1">
      <alignment vertical="top" wrapText="1"/>
      <protection locked="0"/>
    </xf>
    <xf numFmtId="0" fontId="18" fillId="0" borderId="77" xfId="0" applyFont="1" applyFill="1" applyBorder="1" applyAlignment="1" applyProtection="1">
      <protection locked="0"/>
    </xf>
    <xf numFmtId="0" fontId="18" fillId="0" borderId="71" xfId="0" applyFont="1" applyFill="1" applyBorder="1" applyAlignment="1" applyProtection="1">
      <protection locked="0"/>
    </xf>
    <xf numFmtId="0" fontId="18" fillId="0" borderId="6" xfId="0" applyFont="1" applyFill="1" applyBorder="1" applyAlignment="1" applyProtection="1">
      <protection locked="0"/>
    </xf>
    <xf numFmtId="0" fontId="18" fillId="0" borderId="28" xfId="0" applyFont="1" applyFill="1" applyBorder="1" applyAlignment="1" applyProtection="1">
      <protection locked="0"/>
    </xf>
    <xf numFmtId="0" fontId="72" fillId="0" borderId="264" xfId="0" applyFont="1" applyFill="1" applyBorder="1" applyProtection="1"/>
    <xf numFmtId="0" fontId="72" fillId="0" borderId="265" xfId="0" applyFont="1" applyFill="1" applyBorder="1" applyProtection="1"/>
    <xf numFmtId="0" fontId="72" fillId="0" borderId="266" xfId="0" applyFont="1" applyFill="1" applyBorder="1" applyProtection="1"/>
    <xf numFmtId="0" fontId="18" fillId="0" borderId="77" xfId="0" applyFont="1" applyFill="1" applyBorder="1" applyAlignment="1" applyProtection="1">
      <alignment horizontal="left"/>
      <protection locked="0"/>
    </xf>
    <xf numFmtId="0" fontId="18" fillId="0" borderId="71" xfId="0" applyFont="1" applyFill="1" applyBorder="1" applyAlignment="1" applyProtection="1">
      <alignment horizontal="left"/>
      <protection locked="0"/>
    </xf>
    <xf numFmtId="0" fontId="18" fillId="0" borderId="478" xfId="0" applyFont="1" applyFill="1" applyBorder="1" applyAlignment="1" applyProtection="1">
      <protection locked="0"/>
    </xf>
    <xf numFmtId="0" fontId="18" fillId="0" borderId="479" xfId="0" applyFont="1" applyFill="1" applyBorder="1" applyAlignment="1" applyProtection="1">
      <protection locked="0"/>
    </xf>
    <xf numFmtId="0" fontId="72" fillId="0" borderId="338" xfId="0" applyFont="1" applyFill="1" applyBorder="1" applyProtection="1"/>
    <xf numFmtId="0" fontId="18" fillId="0" borderId="28" xfId="0" applyFont="1" applyFill="1" applyBorder="1" applyProtection="1">
      <protection locked="0"/>
    </xf>
    <xf numFmtId="0" fontId="18" fillId="6" borderId="478" xfId="0" applyFont="1" applyFill="1" applyBorder="1" applyAlignment="1" applyProtection="1"/>
    <xf numFmtId="0" fontId="18" fillId="6" borderId="479" xfId="0" applyFont="1" applyFill="1" applyBorder="1" applyAlignment="1" applyProtection="1"/>
    <xf numFmtId="0" fontId="18" fillId="6" borderId="28" xfId="0" applyFont="1" applyFill="1" applyBorder="1" applyAlignment="1" applyProtection="1"/>
    <xf numFmtId="0" fontId="18" fillId="6" borderId="478" xfId="0" applyFont="1" applyFill="1" applyBorder="1" applyProtection="1"/>
    <xf numFmtId="0" fontId="17" fillId="6" borderId="28" xfId="0" applyFont="1" applyFill="1" applyBorder="1" applyAlignment="1" applyProtection="1"/>
    <xf numFmtId="0" fontId="23" fillId="0" borderId="30" xfId="0" applyFont="1" applyFill="1" applyBorder="1" applyAlignment="1" applyProtection="1">
      <alignment horizontal="center" wrapText="1"/>
    </xf>
    <xf numFmtId="0" fontId="23" fillId="0" borderId="30" xfId="0" applyFont="1" applyFill="1" applyBorder="1" applyAlignment="1" applyProtection="1">
      <alignment horizontal="center"/>
    </xf>
    <xf numFmtId="0" fontId="23" fillId="0" borderId="31" xfId="0" applyFont="1" applyFill="1" applyBorder="1" applyAlignment="1" applyProtection="1">
      <alignment horizontal="center"/>
    </xf>
    <xf numFmtId="0" fontId="18" fillId="0" borderId="18" xfId="0" applyFont="1" applyFill="1" applyBorder="1" applyAlignment="1" applyProtection="1">
      <alignment horizontal="left" textRotation="90" wrapText="1"/>
    </xf>
    <xf numFmtId="0" fontId="18" fillId="0" borderId="311" xfId="0" applyFont="1" applyFill="1" applyBorder="1" applyAlignment="1" applyProtection="1">
      <alignment horizontal="left" textRotation="90" wrapText="1"/>
    </xf>
    <xf numFmtId="0" fontId="18" fillId="0" borderId="0" xfId="0" applyFont="1" applyFill="1" applyBorder="1" applyAlignment="1" applyProtection="1">
      <alignment horizontal="left" textRotation="90" wrapText="1"/>
    </xf>
    <xf numFmtId="0" fontId="18" fillId="0" borderId="18" xfId="0" applyFont="1" applyFill="1" applyBorder="1" applyAlignment="1" applyProtection="1">
      <alignment horizontal="left" textRotation="90"/>
    </xf>
    <xf numFmtId="0" fontId="0" fillId="0" borderId="0" xfId="0" applyFont="1" applyFill="1" applyBorder="1" applyProtection="1"/>
    <xf numFmtId="0" fontId="0" fillId="0" borderId="311" xfId="0" applyFont="1" applyFill="1" applyBorder="1" applyProtection="1"/>
    <xf numFmtId="0" fontId="18" fillId="22" borderId="79" xfId="0" applyFont="1" applyFill="1" applyBorder="1" applyAlignment="1" applyProtection="1">
      <alignment horizontal="left" vertical="top" wrapText="1"/>
    </xf>
    <xf numFmtId="0" fontId="18" fillId="22" borderId="80" xfId="0" applyFont="1" applyFill="1" applyBorder="1" applyAlignment="1" applyProtection="1">
      <alignment horizontal="left" vertical="top" wrapText="1"/>
    </xf>
    <xf numFmtId="0" fontId="18" fillId="18" borderId="25" xfId="0" applyFont="1" applyFill="1" applyBorder="1" applyAlignment="1" applyProtection="1">
      <alignment horizontal="left" textRotation="90"/>
    </xf>
    <xf numFmtId="0" fontId="18" fillId="18" borderId="422" xfId="0" applyFont="1" applyFill="1" applyBorder="1" applyAlignment="1" applyProtection="1">
      <alignment horizontal="left" textRotation="90"/>
    </xf>
    <xf numFmtId="0" fontId="18" fillId="0" borderId="128" xfId="0" applyFont="1" applyFill="1" applyBorder="1" applyAlignment="1" applyProtection="1">
      <alignment horizontal="left" textRotation="90"/>
      <protection locked="0"/>
    </xf>
    <xf numFmtId="0" fontId="18" fillId="0" borderId="129" xfId="0" applyFont="1" applyFill="1" applyBorder="1" applyAlignment="1" applyProtection="1">
      <alignment horizontal="left" textRotation="90"/>
      <protection locked="0"/>
    </xf>
    <xf numFmtId="0" fontId="18" fillId="0" borderId="4" xfId="0" applyFont="1" applyFill="1" applyBorder="1" applyAlignment="1" applyProtection="1">
      <alignment horizontal="left" textRotation="90"/>
      <protection locked="0"/>
    </xf>
    <xf numFmtId="0" fontId="46" fillId="18" borderId="287" xfId="0" applyFont="1" applyFill="1" applyBorder="1" applyAlignment="1" applyProtection="1">
      <alignment horizontal="left" vertical="center"/>
    </xf>
    <xf numFmtId="0" fontId="46" fillId="18" borderId="302" xfId="0" applyFont="1" applyFill="1" applyBorder="1" applyAlignment="1" applyProtection="1">
      <alignment horizontal="left" vertical="center"/>
    </xf>
    <xf numFmtId="0" fontId="18" fillId="5" borderId="154" xfId="0" applyFont="1" applyFill="1" applyBorder="1" applyAlignment="1" applyProtection="1">
      <alignment wrapText="1"/>
      <protection locked="0"/>
    </xf>
    <xf numFmtId="0" fontId="18" fillId="5" borderId="412" xfId="0" applyFont="1" applyFill="1" applyBorder="1" applyAlignment="1" applyProtection="1">
      <alignment wrapText="1"/>
      <protection locked="0"/>
    </xf>
    <xf numFmtId="0" fontId="18" fillId="5" borderId="60" xfId="0" applyFont="1" applyFill="1" applyBorder="1" applyAlignment="1" applyProtection="1">
      <alignment wrapText="1"/>
      <protection locked="0"/>
    </xf>
    <xf numFmtId="0" fontId="18" fillId="5" borderId="59" xfId="0" applyFont="1" applyFill="1" applyBorder="1" applyAlignment="1" applyProtection="1">
      <alignment wrapText="1"/>
      <protection locked="0"/>
    </xf>
    <xf numFmtId="0" fontId="22" fillId="5" borderId="61" xfId="0" applyFont="1" applyFill="1" applyBorder="1" applyAlignment="1" applyProtection="1">
      <alignment horizontal="left"/>
      <protection locked="0"/>
    </xf>
    <xf numFmtId="0" fontId="22" fillId="5" borderId="413" xfId="0" applyFont="1" applyFill="1" applyBorder="1" applyAlignment="1" applyProtection="1">
      <alignment horizontal="left"/>
      <protection locked="0"/>
    </xf>
    <xf numFmtId="0" fontId="18" fillId="5" borderId="60" xfId="0" applyFont="1" applyFill="1" applyBorder="1" applyAlignment="1" applyProtection="1">
      <alignment horizontal="left"/>
      <protection locked="0"/>
    </xf>
    <xf numFmtId="0" fontId="18" fillId="5" borderId="59" xfId="0" applyFont="1" applyFill="1" applyBorder="1" applyAlignment="1" applyProtection="1">
      <alignment horizontal="left"/>
      <protection locked="0"/>
    </xf>
    <xf numFmtId="0" fontId="22" fillId="5" borderId="61" xfId="0" applyFont="1" applyFill="1" applyBorder="1" applyAlignment="1" applyProtection="1">
      <alignment wrapText="1"/>
      <protection locked="0"/>
    </xf>
    <xf numFmtId="0" fontId="22" fillId="5" borderId="413" xfId="0" applyFont="1" applyFill="1" applyBorder="1" applyAlignment="1" applyProtection="1">
      <alignment wrapText="1"/>
      <protection locked="0"/>
    </xf>
    <xf numFmtId="0" fontId="18" fillId="5" borderId="154" xfId="0" applyFont="1" applyFill="1" applyBorder="1" applyAlignment="1" applyProtection="1">
      <alignment horizontal="left"/>
      <protection locked="0"/>
    </xf>
    <xf numFmtId="0" fontId="18" fillId="5" borderId="412" xfId="0" applyFont="1" applyFill="1" applyBorder="1" applyAlignment="1" applyProtection="1">
      <alignment horizontal="left"/>
      <protection locked="0"/>
    </xf>
    <xf numFmtId="0" fontId="18" fillId="18" borderId="79" xfId="0" applyFont="1" applyFill="1" applyBorder="1" applyAlignment="1" applyProtection="1"/>
    <xf numFmtId="0" fontId="18" fillId="18" borderId="80" xfId="0" applyFont="1" applyFill="1" applyBorder="1" applyAlignment="1" applyProtection="1"/>
    <xf numFmtId="0" fontId="18" fillId="0" borderId="60" xfId="0" applyFont="1" applyFill="1" applyBorder="1" applyAlignment="1" applyProtection="1">
      <protection locked="0"/>
    </xf>
    <xf numFmtId="0" fontId="18" fillId="0" borderId="59" xfId="0" applyFont="1" applyFill="1" applyBorder="1" applyAlignment="1" applyProtection="1">
      <protection locked="0"/>
    </xf>
    <xf numFmtId="0" fontId="18" fillId="0" borderId="61" xfId="0" applyFont="1" applyBorder="1" applyAlignment="1" applyProtection="1">
      <protection locked="0"/>
    </xf>
    <xf numFmtId="0" fontId="18" fillId="0" borderId="413" xfId="0" applyFont="1" applyBorder="1" applyAlignment="1" applyProtection="1">
      <protection locked="0"/>
    </xf>
    <xf numFmtId="0" fontId="18" fillId="0" borderId="154" xfId="0" applyFont="1" applyBorder="1" applyAlignment="1" applyProtection="1">
      <protection locked="0"/>
    </xf>
    <xf numFmtId="0" fontId="18" fillId="0" borderId="412" xfId="0" applyFont="1" applyBorder="1" applyAlignment="1" applyProtection="1">
      <protection locked="0"/>
    </xf>
    <xf numFmtId="0" fontId="18" fillId="0" borderId="60" xfId="0" applyFont="1" applyBorder="1" applyAlignment="1" applyProtection="1">
      <protection locked="0"/>
    </xf>
    <xf numFmtId="0" fontId="18" fillId="0" borderId="59" xfId="0" applyFont="1" applyBorder="1" applyAlignment="1" applyProtection="1">
      <protection locked="0"/>
    </xf>
    <xf numFmtId="0" fontId="18" fillId="0" borderId="81" xfId="0" applyFont="1" applyFill="1" applyBorder="1" applyAlignment="1" applyProtection="1">
      <alignment wrapText="1"/>
      <protection locked="0"/>
    </xf>
    <xf numFmtId="0" fontId="18" fillId="0" borderId="182" xfId="0" applyFont="1" applyFill="1" applyBorder="1" applyAlignment="1" applyProtection="1">
      <alignment wrapText="1"/>
      <protection locked="0"/>
    </xf>
    <xf numFmtId="0" fontId="18" fillId="0" borderId="88" xfId="0" applyFont="1" applyFill="1" applyBorder="1" applyAlignment="1" applyProtection="1">
      <alignment wrapText="1"/>
      <protection locked="0"/>
    </xf>
    <xf numFmtId="0" fontId="18" fillId="0" borderId="449" xfId="0" applyFont="1" applyFill="1" applyBorder="1" applyAlignment="1" applyProtection="1">
      <alignment wrapText="1"/>
      <protection locked="0"/>
    </xf>
    <xf numFmtId="0" fontId="18" fillId="0" borderId="81" xfId="0" applyFont="1" applyBorder="1" applyAlignment="1" applyProtection="1">
      <alignment wrapText="1"/>
      <protection locked="0"/>
    </xf>
    <xf numFmtId="0" fontId="18" fillId="0" borderId="182" xfId="0" applyFont="1" applyBorder="1" applyAlignment="1" applyProtection="1">
      <alignment wrapText="1"/>
      <protection locked="0"/>
    </xf>
    <xf numFmtId="0" fontId="47" fillId="6" borderId="77" xfId="0" applyFont="1" applyFill="1" applyBorder="1" applyAlignment="1" applyProtection="1">
      <alignment horizontal="left" vertical="center" wrapText="1"/>
    </xf>
    <xf numFmtId="0" fontId="47" fillId="6" borderId="80" xfId="0" applyFont="1" applyFill="1" applyBorder="1" applyAlignment="1" applyProtection="1">
      <alignment horizontal="left" vertical="center" wrapText="1"/>
    </xf>
    <xf numFmtId="0" fontId="18" fillId="0" borderId="393" xfId="0" applyFont="1" applyBorder="1" applyAlignment="1" applyProtection="1">
      <alignment wrapText="1"/>
      <protection locked="0"/>
    </xf>
    <xf numFmtId="0" fontId="18" fillId="0" borderId="469" xfId="0" applyFont="1" applyBorder="1" applyAlignment="1" applyProtection="1">
      <alignment wrapText="1"/>
      <protection locked="0"/>
    </xf>
    <xf numFmtId="0" fontId="57" fillId="0" borderId="477" xfId="0" applyFont="1" applyFill="1" applyBorder="1" applyAlignment="1" applyProtection="1">
      <alignment horizontal="left"/>
      <protection locked="0"/>
    </xf>
    <xf numFmtId="0" fontId="18" fillId="0" borderId="0" xfId="0" applyFont="1" applyFill="1" applyBorder="1" applyAlignment="1" applyProtection="1">
      <alignment horizontal="left" wrapText="1"/>
    </xf>
    <xf numFmtId="0" fontId="57" fillId="0" borderId="477" xfId="0" applyFont="1" applyFill="1" applyBorder="1" applyAlignment="1" applyProtection="1">
      <protection locked="0"/>
    </xf>
    <xf numFmtId="37" fontId="47" fillId="0" borderId="477" xfId="0" applyNumberFormat="1" applyFont="1" applyFill="1" applyBorder="1" applyAlignment="1" applyProtection="1">
      <alignment horizontal="left"/>
      <protection locked="0"/>
    </xf>
    <xf numFmtId="0" fontId="47" fillId="0" borderId="477" xfId="0" applyFont="1" applyFill="1" applyBorder="1" applyAlignment="1" applyProtection="1">
      <alignment horizontal="left"/>
      <protection locked="0"/>
    </xf>
    <xf numFmtId="169" fontId="47" fillId="0" borderId="477" xfId="0" applyNumberFormat="1" applyFont="1" applyFill="1" applyBorder="1" applyAlignment="1" applyProtection="1">
      <alignment horizontal="left"/>
      <protection locked="0"/>
    </xf>
    <xf numFmtId="169" fontId="47" fillId="6" borderId="477" xfId="0" applyNumberFormat="1" applyFont="1" applyFill="1" applyBorder="1" applyAlignment="1" applyProtection="1">
      <alignment horizontal="left"/>
    </xf>
    <xf numFmtId="0" fontId="17" fillId="0" borderId="477" xfId="0" applyFont="1" applyFill="1" applyBorder="1" applyAlignment="1" applyProtection="1">
      <alignment horizontal="left"/>
      <protection locked="0"/>
    </xf>
    <xf numFmtId="9" fontId="47" fillId="6" borderId="477" xfId="0" applyNumberFormat="1" applyFont="1" applyFill="1" applyBorder="1" applyAlignment="1" applyProtection="1">
      <alignment horizontal="right"/>
    </xf>
    <xf numFmtId="0" fontId="17" fillId="0" borderId="477" xfId="0" applyFont="1" applyFill="1" applyBorder="1" applyAlignment="1" applyProtection="1">
      <protection locked="0"/>
    </xf>
    <xf numFmtId="0" fontId="18" fillId="0" borderId="0" xfId="0" applyFont="1" applyFill="1" applyBorder="1" applyAlignment="1" applyProtection="1">
      <alignment horizontal="left"/>
    </xf>
    <xf numFmtId="0" fontId="0" fillId="0" borderId="477" xfId="0" applyFont="1" applyFill="1" applyBorder="1" applyAlignment="1" applyProtection="1">
      <alignment horizontal="left"/>
      <protection locked="0"/>
    </xf>
    <xf numFmtId="0" fontId="20" fillId="18" borderId="287" xfId="0" applyFont="1" applyFill="1" applyBorder="1" applyAlignment="1" applyProtection="1">
      <alignment horizontal="left" vertical="center"/>
    </xf>
    <xf numFmtId="0" fontId="20" fillId="18" borderId="251" xfId="0" applyFont="1" applyFill="1" applyBorder="1" applyAlignment="1" applyProtection="1">
      <alignment horizontal="left" vertical="center"/>
    </xf>
    <xf numFmtId="0" fontId="20" fillId="18" borderId="470" xfId="0" applyFont="1" applyFill="1" applyBorder="1" applyAlignment="1" applyProtection="1">
      <alignment horizontal="left" vertical="center"/>
    </xf>
    <xf numFmtId="0" fontId="17" fillId="0" borderId="477" xfId="0" applyFont="1" applyFill="1" applyBorder="1" applyProtection="1">
      <protection locked="0"/>
    </xf>
    <xf numFmtId="0" fontId="57" fillId="0" borderId="477" xfId="0" applyFont="1" applyFill="1" applyBorder="1" applyAlignment="1" applyProtection="1">
      <alignment horizontal="left" vertical="top"/>
      <protection locked="0"/>
    </xf>
    <xf numFmtId="0" fontId="57" fillId="0" borderId="79" xfId="0" applyFont="1" applyFill="1" applyBorder="1" applyAlignment="1" applyProtection="1">
      <alignment horizontal="left"/>
      <protection locked="0"/>
    </xf>
    <xf numFmtId="0" fontId="57" fillId="0" borderId="478" xfId="0" applyFont="1" applyFill="1" applyBorder="1" applyAlignment="1" applyProtection="1">
      <alignment horizontal="left"/>
      <protection locked="0"/>
    </xf>
    <xf numFmtId="0" fontId="57" fillId="0" borderId="80" xfId="0" applyFont="1" applyFill="1" applyBorder="1" applyAlignment="1" applyProtection="1">
      <alignment horizontal="left"/>
      <protection locked="0"/>
    </xf>
    <xf numFmtId="169" fontId="47" fillId="0" borderId="477" xfId="0" applyNumberFormat="1" applyFont="1" applyFill="1" applyBorder="1" applyAlignment="1" applyProtection="1">
      <alignment horizontal="left"/>
    </xf>
    <xf numFmtId="9" fontId="47" fillId="0" borderId="477" xfId="0" applyNumberFormat="1" applyFont="1" applyFill="1" applyBorder="1" applyAlignment="1" applyProtection="1">
      <alignment horizontal="right"/>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wrapText="1"/>
    </xf>
  </cellXfs>
  <cellStyles count="67">
    <cellStyle name="20% - Accent1 2" xfId="2"/>
    <cellStyle name="20% - Accent2 2" xfId="3"/>
    <cellStyle name="20% - Accent3 2" xfId="4"/>
    <cellStyle name="20% - Accent3 2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alculation 2 2" xfId="29"/>
    <cellStyle name="Check Cell 2" xfId="30"/>
    <cellStyle name="Comma 2" xfId="31"/>
    <cellStyle name="Comma 3" xfId="32"/>
    <cellStyle name="Currency 2" xfId="33"/>
    <cellStyle name="Currency 3" xfId="34"/>
    <cellStyle name="Explanatory Text 2" xfId="35"/>
    <cellStyle name="Good 2" xfId="36"/>
    <cellStyle name="Heading 1 2" xfId="37"/>
    <cellStyle name="Heading 2 2" xfId="38"/>
    <cellStyle name="Heading 3 2" xfId="39"/>
    <cellStyle name="Heading 4 2" xfId="40"/>
    <cellStyle name="Hyperlink 2" xfId="41"/>
    <cellStyle name="Input 2" xfId="42"/>
    <cellStyle name="Input 2 2" xfId="43"/>
    <cellStyle name="Linked Cell 2" xfId="44"/>
    <cellStyle name="Neutral 2" xfId="45"/>
    <cellStyle name="Normal" xfId="0" builtinId="0"/>
    <cellStyle name="Normal 2" xfId="46"/>
    <cellStyle name="Normal 2 2" xfId="47"/>
    <cellStyle name="Normal 2 2 2" xfId="48"/>
    <cellStyle name="Normal 2 3" xfId="49"/>
    <cellStyle name="Normal 2 3 2" xfId="50"/>
    <cellStyle name="Normal 2 3 3" xfId="51"/>
    <cellStyle name="Normal 2 4" xfId="52"/>
    <cellStyle name="Normal 2 5" xfId="53"/>
    <cellStyle name="Normal 3" xfId="54"/>
    <cellStyle name="Normal 4" xfId="55"/>
    <cellStyle name="Normal 4 2" xfId="56"/>
    <cellStyle name="Normal 5" xfId="1"/>
    <cellStyle name="Normal 5 2" xfId="57"/>
    <cellStyle name="Normal 6" xfId="58"/>
    <cellStyle name="Note 2" xfId="59"/>
    <cellStyle name="Output 2" xfId="60"/>
    <cellStyle name="Percent 2" xfId="61"/>
    <cellStyle name="Percent 2 2" xfId="62"/>
    <cellStyle name="Percent 3" xfId="63"/>
    <cellStyle name="Title 2" xfId="64"/>
    <cellStyle name="Total 2" xfId="65"/>
    <cellStyle name="Warning Text 2" xfId="66"/>
  </cellStyles>
  <dxfs count="59">
    <dxf>
      <font>
        <color rgb="FF006100"/>
      </font>
      <fill>
        <patternFill>
          <bgColor rgb="FFC6EFCE"/>
        </patternFill>
      </fill>
    </dxf>
    <dxf>
      <font>
        <color rgb="FF006100"/>
      </font>
      <fill>
        <patternFill>
          <bgColor rgb="FFC6EFCE"/>
        </patternFill>
      </fill>
    </dxf>
    <dxf>
      <font>
        <b/>
        <i val="0"/>
        <color auto="1"/>
      </font>
    </dxf>
    <dxf>
      <font>
        <color rgb="FF9C6500"/>
      </font>
      <fill>
        <patternFill>
          <bgColor rgb="FFFFEB9C"/>
        </patternFill>
      </fill>
    </dxf>
    <dxf>
      <font>
        <b/>
        <i val="0"/>
        <color auto="1"/>
      </font>
    </dxf>
    <dxf>
      <font>
        <color rgb="FF9C6500"/>
      </font>
      <fill>
        <patternFill>
          <bgColor rgb="FFFFEB9C"/>
        </patternFill>
      </fill>
    </dxf>
    <dxf>
      <font>
        <b/>
        <i val="0"/>
        <color auto="1"/>
      </font>
    </dxf>
    <dxf>
      <font>
        <color rgb="FF9C6500"/>
      </font>
      <fill>
        <patternFill>
          <bgColor rgb="FFFFEB9C"/>
        </patternFill>
      </fill>
    </dxf>
    <dxf>
      <font>
        <color rgb="FF9C6500"/>
      </font>
      <fill>
        <patternFill>
          <bgColor rgb="FFFFEB9C"/>
        </patternFill>
      </fill>
    </dxf>
    <dxf>
      <font>
        <color rgb="FF990000"/>
      </font>
      <fill>
        <patternFill>
          <bgColor theme="5" tint="0.79998168889431442"/>
        </patternFill>
      </fill>
    </dxf>
    <dxf>
      <font>
        <color rgb="FF990000"/>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800000"/>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800000"/>
      </font>
      <fill>
        <patternFill>
          <bgColor theme="5" tint="0.79998168889431442"/>
        </patternFill>
      </fill>
    </dxf>
    <dxf>
      <font>
        <color rgb="FF990000"/>
      </font>
      <fill>
        <patternFill>
          <bgColor theme="5" tint="0.7999816888943144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i val="0"/>
      </font>
      <fill>
        <patternFill>
          <bgColor theme="9" tint="0.39994506668294322"/>
        </patternFill>
      </fill>
      <border>
        <left/>
        <right/>
        <top/>
        <bottom/>
      </border>
    </dxf>
    <dxf>
      <font>
        <b/>
        <i val="0"/>
      </font>
      <fill>
        <patternFill>
          <bgColor rgb="FFCCFFCC"/>
        </patternFill>
      </fill>
      <border>
        <left/>
        <right/>
        <top/>
        <bottom/>
      </border>
    </dxf>
    <dxf>
      <font>
        <color rgb="FF990000"/>
      </font>
      <fill>
        <patternFill>
          <bgColor theme="5" tint="0.79998168889431442"/>
        </patternFill>
      </fill>
    </dxf>
    <dxf>
      <font>
        <color theme="0"/>
      </font>
      <border>
        <left/>
        <right/>
        <top/>
        <bottom/>
        <vertical/>
        <horizontal/>
      </border>
    </dxf>
    <dxf>
      <font>
        <color theme="0"/>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i val="0"/>
      </font>
      <fill>
        <patternFill>
          <bgColor theme="9" tint="0.39994506668294322"/>
        </patternFill>
      </fill>
      <border>
        <left/>
        <right/>
        <top/>
        <bottom/>
      </border>
    </dxf>
    <dxf>
      <font>
        <b/>
        <i val="0"/>
      </font>
      <fill>
        <patternFill>
          <bgColor rgb="FFCCFFCC"/>
        </patternFill>
      </fill>
      <border>
        <left/>
        <right/>
        <top/>
        <bottom/>
      </border>
    </dxf>
    <dxf>
      <font>
        <color rgb="FF990000"/>
      </font>
      <fill>
        <patternFill>
          <bgColor theme="5" tint="0.79998168889431442"/>
        </patternFill>
      </fill>
    </dxf>
    <dxf>
      <font>
        <color theme="0"/>
      </font>
      <border>
        <left/>
        <right/>
        <top/>
        <bottom/>
        <vertical/>
        <horizontal/>
      </border>
    </dxf>
    <dxf>
      <font>
        <color theme="0"/>
      </font>
    </dxf>
    <dxf>
      <font>
        <color rgb="FF006100"/>
      </font>
      <fill>
        <patternFill>
          <bgColor rgb="FFC6EFCE"/>
        </patternFill>
      </fill>
    </dxf>
  </dxfs>
  <tableStyles count="0" defaultTableStyle="TableStyleMedium2" defaultPivotStyle="PivotStyleLight16"/>
  <colors>
    <mruColors>
      <color rgb="FFFFFFCC"/>
      <color rgb="FF800000"/>
      <color rgb="FFCCFFCC"/>
      <color rgb="FFCCECFF"/>
      <color rgb="FF663300"/>
      <color rgb="FF990000"/>
      <color rgb="FF996600"/>
      <color rgb="FF339933"/>
      <color rgb="FF00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40.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41.xml.rels><?xml version="1.0" encoding="UTF-8" standalone="yes"?>
<Relationships xmlns="http://schemas.openxmlformats.org/package/2006/relationships"><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2015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81975"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781050</xdr:colOff>
      <xdr:row>134</xdr:row>
      <xdr:rowOff>0</xdr:rowOff>
    </xdr:from>
    <xdr:to>
      <xdr:col>5</xdr:col>
      <xdr:colOff>1200150</xdr:colOff>
      <xdr:row>143</xdr:row>
      <xdr:rowOff>0</xdr:rowOff>
    </xdr:to>
    <xdr:sp macro="" textlink="">
      <xdr:nvSpPr>
        <xdr:cNvPr id="2" name="TextBox 1"/>
        <xdr:cNvSpPr txBox="1"/>
      </xdr:nvSpPr>
      <xdr:spPr>
        <a:xfrm>
          <a:off x="1962150" y="24117300"/>
          <a:ext cx="1771650"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10</xdr:col>
      <xdr:colOff>9525</xdr:colOff>
      <xdr:row>9</xdr:row>
      <xdr:rowOff>47625</xdr:rowOff>
    </xdr:to>
    <xdr:sp macro="" textlink="">
      <xdr:nvSpPr>
        <xdr:cNvPr id="3" name="TextBox 2"/>
        <xdr:cNvSpPr txBox="1"/>
      </xdr:nvSpPr>
      <xdr:spPr bwMode="auto">
        <a:xfrm>
          <a:off x="123825" y="63497"/>
          <a:ext cx="8191500"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Evergreen Standard (v2.2)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6</xdr:col>
      <xdr:colOff>273051</xdr:colOff>
      <xdr:row>1</xdr:row>
      <xdr:rowOff>31750</xdr:rowOff>
    </xdr:from>
    <xdr:to>
      <xdr:col>6</xdr:col>
      <xdr:colOff>2009776</xdr:colOff>
      <xdr:row>4</xdr:row>
      <xdr:rowOff>111125</xdr:rowOff>
    </xdr:to>
    <xdr:sp macro="" textlink="">
      <xdr:nvSpPr>
        <xdr:cNvPr id="4" name="TextBox 3">
          <a:hlinkClick xmlns:r="http://schemas.openxmlformats.org/officeDocument/2006/relationships" r:id="rId1"/>
        </xdr:cNvPr>
        <xdr:cNvSpPr txBox="1"/>
      </xdr:nvSpPr>
      <xdr:spPr bwMode="auto">
        <a:xfrm>
          <a:off x="5721351" y="2222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781050</xdr:colOff>
      <xdr:row>134</xdr:row>
      <xdr:rowOff>0</xdr:rowOff>
    </xdr:from>
    <xdr:to>
      <xdr:col>5</xdr:col>
      <xdr:colOff>1200150</xdr:colOff>
      <xdr:row>143</xdr:row>
      <xdr:rowOff>0</xdr:rowOff>
    </xdr:to>
    <xdr:sp macro="" textlink="">
      <xdr:nvSpPr>
        <xdr:cNvPr id="2" name="TextBox 1"/>
        <xdr:cNvSpPr txBox="1"/>
      </xdr:nvSpPr>
      <xdr:spPr>
        <a:xfrm>
          <a:off x="1962150" y="23831550"/>
          <a:ext cx="1771650"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10</xdr:col>
      <xdr:colOff>9525</xdr:colOff>
      <xdr:row>9</xdr:row>
      <xdr:rowOff>47625</xdr:rowOff>
    </xdr:to>
    <xdr:sp macro="" textlink="">
      <xdr:nvSpPr>
        <xdr:cNvPr id="3" name="TextBox 2"/>
        <xdr:cNvSpPr txBox="1"/>
      </xdr:nvSpPr>
      <xdr:spPr bwMode="auto">
        <a:xfrm>
          <a:off x="123825" y="63497"/>
          <a:ext cx="8191500"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Evergreen Standard (v2.2)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6</xdr:col>
      <xdr:colOff>273051</xdr:colOff>
      <xdr:row>1</xdr:row>
      <xdr:rowOff>31750</xdr:rowOff>
    </xdr:from>
    <xdr:to>
      <xdr:col>6</xdr:col>
      <xdr:colOff>2009776</xdr:colOff>
      <xdr:row>4</xdr:row>
      <xdr:rowOff>111125</xdr:rowOff>
    </xdr:to>
    <xdr:sp macro="" textlink="">
      <xdr:nvSpPr>
        <xdr:cNvPr id="4" name="TextBox 3">
          <a:hlinkClick xmlns:r="http://schemas.openxmlformats.org/officeDocument/2006/relationships" r:id="rId1"/>
        </xdr:cNvPr>
        <xdr:cNvSpPr txBox="1"/>
      </xdr:nvSpPr>
      <xdr:spPr bwMode="auto">
        <a:xfrm>
          <a:off x="5721351" y="2222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8</xdr:col>
      <xdr:colOff>104775</xdr:colOff>
      <xdr:row>8</xdr:row>
      <xdr:rowOff>95250</xdr:rowOff>
    </xdr:to>
    <xdr:sp macro="" textlink="">
      <xdr:nvSpPr>
        <xdr:cNvPr id="2" name="TextBox 1"/>
        <xdr:cNvSpPr txBox="1"/>
      </xdr:nvSpPr>
      <xdr:spPr>
        <a:xfrm>
          <a:off x="95250" y="85726"/>
          <a:ext cx="5400675" cy="1533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85726</xdr:rowOff>
    </xdr:from>
    <xdr:to>
      <xdr:col>8</xdr:col>
      <xdr:colOff>104775</xdr:colOff>
      <xdr:row>8</xdr:row>
      <xdr:rowOff>95250</xdr:rowOff>
    </xdr:to>
    <xdr:sp macro="" textlink="">
      <xdr:nvSpPr>
        <xdr:cNvPr id="2" name="TextBox 1"/>
        <xdr:cNvSpPr txBox="1"/>
      </xdr:nvSpPr>
      <xdr:spPr>
        <a:xfrm>
          <a:off x="95250" y="85726"/>
          <a:ext cx="5953125" cy="1533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7</xdr:col>
      <xdr:colOff>85725</xdr:colOff>
      <xdr:row>5</xdr:row>
      <xdr:rowOff>161926</xdr:rowOff>
    </xdr:to>
    <xdr:sp macro="" textlink="">
      <xdr:nvSpPr>
        <xdr:cNvPr id="2" name="TextBox 1"/>
        <xdr:cNvSpPr txBox="1"/>
      </xdr:nvSpPr>
      <xdr:spPr>
        <a:xfrm>
          <a:off x="104775" y="85726"/>
          <a:ext cx="8181975"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0</xdr:row>
      <xdr:rowOff>95251</xdr:rowOff>
    </xdr:from>
    <xdr:to>
      <xdr:col>17</xdr:col>
      <xdr:colOff>9525</xdr:colOff>
      <xdr:row>4</xdr:row>
      <xdr:rowOff>0</xdr:rowOff>
    </xdr:to>
    <xdr:sp macro="" textlink="">
      <xdr:nvSpPr>
        <xdr:cNvPr id="2" name="TextBox 1"/>
        <xdr:cNvSpPr txBox="1"/>
      </xdr:nvSpPr>
      <xdr:spPr>
        <a:xfrm>
          <a:off x="76199" y="95251"/>
          <a:ext cx="8524876" cy="762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 ROLLUP</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completed automatically using the numbers entered on Form 6A(a) and Form 6A(b). </a:t>
          </a:r>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xdr:cNvSpPr txBox="1"/>
      </xdr:nvSpPr>
      <xdr:spPr>
        <a:xfrm>
          <a:off x="76199" y="95250"/>
          <a:ext cx="10782301"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23</xdr:col>
      <xdr:colOff>9525</xdr:colOff>
      <xdr:row>7</xdr:row>
      <xdr:rowOff>161925</xdr:rowOff>
    </xdr:to>
    <xdr:sp macro="" textlink="">
      <xdr:nvSpPr>
        <xdr:cNvPr id="2" name="TextBox 1"/>
        <xdr:cNvSpPr txBox="1"/>
      </xdr:nvSpPr>
      <xdr:spPr>
        <a:xfrm>
          <a:off x="76199" y="95250"/>
          <a:ext cx="10782301"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2" name="TextBox 1"/>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13</xdr:col>
      <xdr:colOff>104775</xdr:colOff>
      <xdr:row>5</xdr:row>
      <xdr:rowOff>120649</xdr:rowOff>
    </xdr:to>
    <xdr:sp macro="" textlink="">
      <xdr:nvSpPr>
        <xdr:cNvPr id="2" name="TextBox 1"/>
        <xdr:cNvSpPr txBox="1"/>
      </xdr:nvSpPr>
      <xdr:spPr>
        <a:xfrm>
          <a:off x="85725" y="57150"/>
          <a:ext cx="105727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14</xdr:col>
      <xdr:colOff>104775</xdr:colOff>
      <xdr:row>5</xdr:row>
      <xdr:rowOff>120649</xdr:rowOff>
    </xdr:to>
    <xdr:sp macro="" textlink="">
      <xdr:nvSpPr>
        <xdr:cNvPr id="2" name="TextBox 1"/>
        <xdr:cNvSpPr txBox="1"/>
      </xdr:nvSpPr>
      <xdr:spPr>
        <a:xfrm>
          <a:off x="85725" y="57150"/>
          <a:ext cx="105727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14</xdr:col>
      <xdr:colOff>104775</xdr:colOff>
      <xdr:row>5</xdr:row>
      <xdr:rowOff>120649</xdr:rowOff>
    </xdr:to>
    <xdr:sp macro="" textlink="">
      <xdr:nvSpPr>
        <xdr:cNvPr id="2" name="TextBox 1"/>
        <xdr:cNvSpPr txBox="1"/>
      </xdr:nvSpPr>
      <xdr:spPr>
        <a:xfrm>
          <a:off x="85725" y="57150"/>
          <a:ext cx="105727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13</xdr:col>
      <xdr:colOff>85725</xdr:colOff>
      <xdr:row>7</xdr:row>
      <xdr:rowOff>180974</xdr:rowOff>
    </xdr:to>
    <xdr:sp macro="" textlink="">
      <xdr:nvSpPr>
        <xdr:cNvPr id="2" name="TextBox 1"/>
        <xdr:cNvSpPr txBox="1"/>
      </xdr:nvSpPr>
      <xdr:spPr>
        <a:xfrm>
          <a:off x="104774" y="57149"/>
          <a:ext cx="8877301" cy="1457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13</xdr:col>
      <xdr:colOff>85725</xdr:colOff>
      <xdr:row>7</xdr:row>
      <xdr:rowOff>180974</xdr:rowOff>
    </xdr:to>
    <xdr:sp macro="" textlink="">
      <xdr:nvSpPr>
        <xdr:cNvPr id="2" name="TextBox 1"/>
        <xdr:cNvSpPr txBox="1"/>
      </xdr:nvSpPr>
      <xdr:spPr>
        <a:xfrm>
          <a:off x="104774" y="57149"/>
          <a:ext cx="8877301" cy="1457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0</xdr:row>
      <xdr:rowOff>95250</xdr:rowOff>
    </xdr:from>
    <xdr:to>
      <xdr:col>9</xdr:col>
      <xdr:colOff>95250</xdr:colOff>
      <xdr:row>4</xdr:row>
      <xdr:rowOff>0</xdr:rowOff>
    </xdr:to>
    <xdr:sp macro="" textlink="">
      <xdr:nvSpPr>
        <xdr:cNvPr id="2" name="TextBox 1"/>
        <xdr:cNvSpPr txBox="1"/>
      </xdr:nvSpPr>
      <xdr:spPr>
        <a:xfrm>
          <a:off x="123825" y="95250"/>
          <a:ext cx="8429625" cy="666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0</xdr:row>
      <xdr:rowOff>76201</xdr:rowOff>
    </xdr:from>
    <xdr:to>
      <xdr:col>12</xdr:col>
      <xdr:colOff>19050</xdr:colOff>
      <xdr:row>6</xdr:row>
      <xdr:rowOff>104775</xdr:rowOff>
    </xdr:to>
    <xdr:sp macro="" textlink="">
      <xdr:nvSpPr>
        <xdr:cNvPr id="2" name="TextBox 1"/>
        <xdr:cNvSpPr txBox="1"/>
      </xdr:nvSpPr>
      <xdr:spPr>
        <a:xfrm>
          <a:off x="123825" y="76201"/>
          <a:ext cx="7077075" cy="11715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 Personnel Expenses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0</xdr:row>
      <xdr:rowOff>57149</xdr:rowOff>
    </xdr:from>
    <xdr:to>
      <xdr:col>17</xdr:col>
      <xdr:colOff>47625</xdr:colOff>
      <xdr:row>10</xdr:row>
      <xdr:rowOff>28574</xdr:rowOff>
    </xdr:to>
    <xdr:sp macro="" textlink="">
      <xdr:nvSpPr>
        <xdr:cNvPr id="2" name="TextBox 1"/>
        <xdr:cNvSpPr txBox="1"/>
      </xdr:nvSpPr>
      <xdr:spPr>
        <a:xfrm>
          <a:off x="142875" y="57149"/>
          <a:ext cx="10191750" cy="1876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Service</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9525</xdr:colOff>
      <xdr:row>0</xdr:row>
      <xdr:rowOff>95250</xdr:rowOff>
    </xdr:from>
    <xdr:to>
      <xdr:col>9</xdr:col>
      <xdr:colOff>95250</xdr:colOff>
      <xdr:row>4</xdr:row>
      <xdr:rowOff>0</xdr:rowOff>
    </xdr:to>
    <xdr:sp macro="" textlink="">
      <xdr:nvSpPr>
        <xdr:cNvPr id="2" name="TextBox 1"/>
        <xdr:cNvSpPr txBox="1"/>
      </xdr:nvSpPr>
      <xdr:spPr>
        <a:xfrm>
          <a:off x="123825" y="95250"/>
          <a:ext cx="8429625" cy="6762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xdr:colOff>
      <xdr:row>0</xdr:row>
      <xdr:rowOff>76201</xdr:rowOff>
    </xdr:from>
    <xdr:to>
      <xdr:col>12</xdr:col>
      <xdr:colOff>19050</xdr:colOff>
      <xdr:row>6</xdr:row>
      <xdr:rowOff>104775</xdr:rowOff>
    </xdr:to>
    <xdr:sp macro="" textlink="">
      <xdr:nvSpPr>
        <xdr:cNvPr id="2" name="TextBox 1"/>
        <xdr:cNvSpPr txBox="1"/>
      </xdr:nvSpPr>
      <xdr:spPr>
        <a:xfrm>
          <a:off x="123825" y="76201"/>
          <a:ext cx="7077075" cy="11715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 Personnel Expenses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28575</xdr:colOff>
      <xdr:row>0</xdr:row>
      <xdr:rowOff>57149</xdr:rowOff>
    </xdr:from>
    <xdr:to>
      <xdr:col>17</xdr:col>
      <xdr:colOff>47625</xdr:colOff>
      <xdr:row>10</xdr:row>
      <xdr:rowOff>28574</xdr:rowOff>
    </xdr:to>
    <xdr:sp macro="" textlink="">
      <xdr:nvSpPr>
        <xdr:cNvPr id="2" name="TextBox 1"/>
        <xdr:cNvSpPr txBox="1"/>
      </xdr:nvSpPr>
      <xdr:spPr>
        <a:xfrm>
          <a:off x="142875" y="57149"/>
          <a:ext cx="10191750" cy="1876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Service</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104775</xdr:colOff>
      <xdr:row>0</xdr:row>
      <xdr:rowOff>76201</xdr:rowOff>
    </xdr:from>
    <xdr:to>
      <xdr:col>17</xdr:col>
      <xdr:colOff>66675</xdr:colOff>
      <xdr:row>4</xdr:row>
      <xdr:rowOff>0</xdr:rowOff>
    </xdr:to>
    <xdr:sp macro="" textlink="">
      <xdr:nvSpPr>
        <xdr:cNvPr id="2" name="TextBox 1"/>
        <xdr:cNvSpPr txBox="1"/>
      </xdr:nvSpPr>
      <xdr:spPr>
        <a:xfrm>
          <a:off x="104775" y="76201"/>
          <a:ext cx="8667750" cy="704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ROLLUP</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This</a:t>
          </a:r>
          <a:r>
            <a:rPr lang="en-US" sz="1100" b="0" i="0" baseline="0">
              <a:solidFill>
                <a:schemeClr val="dk1"/>
              </a:solidFill>
              <a:effectLst/>
              <a:latin typeface="+mn-lt"/>
              <a:ea typeface="+mn-ea"/>
              <a:cs typeface="+mn-cs"/>
            </a:rPr>
            <a:t> Form is completed automatically using the numbers entered on Form 8E(a) and Form 8E(b). </a:t>
          </a:r>
          <a:endParaRPr lang="en-US" sz="1100" b="0" i="0" u="none" strike="noStrike">
            <a:solidFill>
              <a:schemeClr val="dk1"/>
            </a:solidFill>
            <a:effectLst/>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17</xdr:col>
      <xdr:colOff>66675</xdr:colOff>
      <xdr:row>15</xdr:row>
      <xdr:rowOff>142875</xdr:rowOff>
    </xdr:to>
    <xdr:sp macro="" textlink="">
      <xdr:nvSpPr>
        <xdr:cNvPr id="2" name="TextBox 1"/>
        <xdr:cNvSpPr txBox="1"/>
      </xdr:nvSpPr>
      <xdr:spPr>
        <a:xfrm>
          <a:off x="104775" y="76200"/>
          <a:ext cx="8667750" cy="2924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a:t>
          </a:r>
          <a:r>
            <a:rPr lang="en-US" sz="1100" b="0" i="0" u="none" strike="noStrike">
              <a:solidFill>
                <a:sysClr val="windowText" lastClr="000000"/>
              </a:solidFill>
              <a:effectLst/>
              <a:latin typeface="+mn-lt"/>
              <a:ea typeface="+mn-ea"/>
              <a:cs typeface="+mn-cs"/>
            </a:rPr>
            <a:t>subsidies, use this Form</a:t>
          </a:r>
          <a:r>
            <a:rPr lang="en-US" sz="1100" b="0" i="0" u="none" strike="noStrike" baseline="0">
              <a:solidFill>
                <a:sysClr val="windowText" lastClr="000000"/>
              </a:solidFill>
              <a:effectLst/>
              <a:latin typeface="+mn-lt"/>
              <a:ea typeface="+mn-ea"/>
              <a:cs typeface="+mn-cs"/>
            </a:rPr>
            <a:t> to </a:t>
          </a:r>
          <a:r>
            <a:rPr lang="en-US" sz="1100" b="0" i="0" u="none" strike="noStrike">
              <a:solidFill>
                <a:sysClr val="windowText" lastClr="000000"/>
              </a:solidFill>
              <a:effectLst/>
              <a:latin typeface="+mn-lt"/>
              <a:ea typeface="+mn-ea"/>
              <a:cs typeface="+mn-cs"/>
            </a:rPr>
            <a:t>provide a Pro Forma that assumes the subsidy. Use Form 8E(2) to provide a budget</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ysClr val="windowText" lastClr="000000"/>
              </a:solidFill>
              <a:effectLst/>
              <a:latin typeface="+mn-lt"/>
              <a:ea typeface="+mn-ea"/>
              <a:cs typeface="+mn-cs"/>
            </a:rPr>
            <a:t>   that does not include the subsidy. If the project does not include rental subsidies,</a:t>
          </a:r>
          <a:r>
            <a:rPr lang="en-US" sz="1100" b="0" i="0" u="none" strike="noStrike" baseline="0">
              <a:solidFill>
                <a:sysClr val="windowText" lastClr="000000"/>
              </a:solidFill>
              <a:effectLst/>
              <a:latin typeface="+mn-lt"/>
              <a:ea typeface="+mn-ea"/>
              <a:cs typeface="+mn-cs"/>
            </a:rPr>
            <a:t>  please enable the "No Rent Subsidy" checkbox.</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17</xdr:col>
      <xdr:colOff>66675</xdr:colOff>
      <xdr:row>15</xdr:row>
      <xdr:rowOff>142875</xdr:rowOff>
    </xdr:to>
    <xdr:sp macro="" textlink="">
      <xdr:nvSpPr>
        <xdr:cNvPr id="2" name="TextBox 1"/>
        <xdr:cNvSpPr txBox="1"/>
      </xdr:nvSpPr>
      <xdr:spPr>
        <a:xfrm>
          <a:off x="104775" y="76200"/>
          <a:ext cx="8667750" cy="2924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a:t>
          </a:r>
          <a:r>
            <a:rPr lang="en-US" sz="1100" b="0" i="0" u="none" strike="noStrike">
              <a:solidFill>
                <a:sysClr val="windowText" lastClr="000000"/>
              </a:solidFill>
              <a:effectLst/>
              <a:latin typeface="+mn-lt"/>
              <a:ea typeface="+mn-ea"/>
              <a:cs typeface="+mn-cs"/>
            </a:rPr>
            <a:t>subsidies, use this Form</a:t>
          </a:r>
          <a:r>
            <a:rPr lang="en-US" sz="1100" b="0" i="0" u="none" strike="noStrike" baseline="0">
              <a:solidFill>
                <a:sysClr val="windowText" lastClr="000000"/>
              </a:solidFill>
              <a:effectLst/>
              <a:latin typeface="+mn-lt"/>
              <a:ea typeface="+mn-ea"/>
              <a:cs typeface="+mn-cs"/>
            </a:rPr>
            <a:t> to </a:t>
          </a:r>
          <a:r>
            <a:rPr lang="en-US" sz="1100" b="0" i="0" u="none" strike="noStrike">
              <a:solidFill>
                <a:sysClr val="windowText" lastClr="000000"/>
              </a:solidFill>
              <a:effectLst/>
              <a:latin typeface="+mn-lt"/>
              <a:ea typeface="+mn-ea"/>
              <a:cs typeface="+mn-cs"/>
            </a:rPr>
            <a:t>provide a Pro Forma that assumes the subsidy. Use Form 8E(2) to provide a budget</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ysClr val="windowText" lastClr="000000"/>
              </a:solidFill>
              <a:effectLst/>
              <a:latin typeface="+mn-lt"/>
              <a:ea typeface="+mn-ea"/>
              <a:cs typeface="+mn-cs"/>
            </a:rPr>
            <a:t>   that does not include the subsidy. If the project does not include rental subsidies,</a:t>
          </a:r>
          <a:r>
            <a:rPr lang="en-US" sz="1100" b="0" i="0" u="none" strike="noStrike" baseline="0">
              <a:solidFill>
                <a:sysClr val="windowText" lastClr="000000"/>
              </a:solidFill>
              <a:effectLst/>
              <a:latin typeface="+mn-lt"/>
              <a:ea typeface="+mn-ea"/>
              <a:cs typeface="+mn-cs"/>
            </a:rPr>
            <a:t>  please enable the "No Rent Subsidy" checkbox.</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104775</xdr:colOff>
      <xdr:row>0</xdr:row>
      <xdr:rowOff>76201</xdr:rowOff>
    </xdr:from>
    <xdr:to>
      <xdr:col>17</xdr:col>
      <xdr:colOff>66675</xdr:colOff>
      <xdr:row>4</xdr:row>
      <xdr:rowOff>0</xdr:rowOff>
    </xdr:to>
    <xdr:sp macro="" textlink="">
      <xdr:nvSpPr>
        <xdr:cNvPr id="2" name="TextBox 1"/>
        <xdr:cNvSpPr txBox="1"/>
      </xdr:nvSpPr>
      <xdr:spPr>
        <a:xfrm>
          <a:off x="104775" y="76201"/>
          <a:ext cx="8667750"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ROLLUP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This</a:t>
          </a:r>
          <a:r>
            <a:rPr lang="en-US" sz="1100" b="0" i="0" baseline="0">
              <a:solidFill>
                <a:schemeClr val="dk1"/>
              </a:solidFill>
              <a:effectLst/>
              <a:latin typeface="+mn-lt"/>
              <a:ea typeface="+mn-ea"/>
              <a:cs typeface="+mn-cs"/>
            </a:rPr>
            <a:t> Form is completed automatically using the numbers entered on Form 8E(2)(a) and Form 8E(2)(b). </a:t>
          </a:r>
          <a:endParaRPr lang="en-US">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17</xdr:col>
      <xdr:colOff>66675</xdr:colOff>
      <xdr:row>6</xdr:row>
      <xdr:rowOff>142874</xdr:rowOff>
    </xdr:to>
    <xdr:sp macro="" textlink="">
      <xdr:nvSpPr>
        <xdr:cNvPr id="2" name="TextBox 1"/>
        <xdr:cNvSpPr txBox="1"/>
      </xdr:nvSpPr>
      <xdr:spPr>
        <a:xfrm>
          <a:off x="104775" y="76199"/>
          <a:ext cx="866775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8E(2): Operating</a:t>
          </a:r>
          <a:r>
            <a:rPr lang="en-US" sz="1400" b="1" i="0" u="none" strike="noStrike" baseline="0">
              <a:solidFill>
                <a:schemeClr val="dk1"/>
              </a:solidFill>
              <a:effectLst/>
              <a:latin typeface="+mn-lt"/>
              <a:ea typeface="+mn-ea"/>
              <a:cs typeface="+mn-cs"/>
            </a:rPr>
            <a:t> Pro Forma (Alternate Without Subsidy)</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Use this Form</a:t>
          </a:r>
          <a:r>
            <a:rPr lang="en-US" sz="1100" b="0" i="0" u="none" strike="noStrike" baseline="0">
              <a:solidFill>
                <a:sysClr val="windowText" lastClr="000000"/>
              </a:solidFill>
              <a:effectLst/>
              <a:latin typeface="+mn-lt"/>
              <a:ea typeface="+mn-ea"/>
              <a:cs typeface="+mn-cs"/>
            </a:rPr>
            <a:t> only if your project includes rent subsidies, and you accounted for those subsidies in completing Form 8E</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 For your convenience, the Year 1 expenses</a:t>
          </a:r>
          <a:r>
            <a:rPr lang="en-US" sz="1100" b="0" i="0" baseline="0">
              <a:solidFill>
                <a:sysClr val="windowText" lastClr="000000"/>
              </a:solidFill>
              <a:effectLst/>
              <a:latin typeface="+mn-lt"/>
              <a:ea typeface="+mn-ea"/>
              <a:cs typeface="+mn-cs"/>
            </a:rPr>
            <a:t> entered on Form 8E will auto-populate here. You may alter them as needed, and assign alternate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escalators to each, or leave them as per Form 8E</a:t>
          </a:r>
          <a:r>
            <a:rPr lang="en-US" sz="1100" b="0" i="0">
              <a:solidFill>
                <a:sysClr val="windowText" lastClr="000000"/>
              </a:solidFill>
              <a:effectLst/>
              <a:latin typeface="+mn-lt"/>
              <a:ea typeface="+mn-ea"/>
              <a:cs typeface="+mn-cs"/>
            </a:rPr>
            <a:t>.</a:t>
          </a:r>
          <a:endParaRPr lang="en-US"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17</xdr:col>
      <xdr:colOff>66675</xdr:colOff>
      <xdr:row>6</xdr:row>
      <xdr:rowOff>142874</xdr:rowOff>
    </xdr:to>
    <xdr:sp macro="" textlink="">
      <xdr:nvSpPr>
        <xdr:cNvPr id="2" name="TextBox 1"/>
        <xdr:cNvSpPr txBox="1"/>
      </xdr:nvSpPr>
      <xdr:spPr>
        <a:xfrm>
          <a:off x="104775" y="76199"/>
          <a:ext cx="8667750" cy="1209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8E(2): Operating</a:t>
          </a:r>
          <a:r>
            <a:rPr lang="en-US" sz="1400" b="1" i="0" u="none" strike="noStrike" baseline="0">
              <a:solidFill>
                <a:schemeClr val="dk1"/>
              </a:solidFill>
              <a:effectLst/>
              <a:latin typeface="+mn-lt"/>
              <a:ea typeface="+mn-ea"/>
              <a:cs typeface="+mn-cs"/>
            </a:rPr>
            <a:t> Pro Forma (Alternate Without Subsidy)</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Use this Form</a:t>
          </a:r>
          <a:r>
            <a:rPr lang="en-US" sz="1100" b="0" i="0" u="none" strike="noStrike" baseline="0">
              <a:solidFill>
                <a:sysClr val="windowText" lastClr="000000"/>
              </a:solidFill>
              <a:effectLst/>
              <a:latin typeface="+mn-lt"/>
              <a:ea typeface="+mn-ea"/>
              <a:cs typeface="+mn-cs"/>
            </a:rPr>
            <a:t> only if your project includes rent subsidies, and you accounted for those subsidies in completing Form 8E</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 For your convenience, the Year 1 expenses</a:t>
          </a:r>
          <a:r>
            <a:rPr lang="en-US" sz="1100" b="0" i="0" baseline="0">
              <a:solidFill>
                <a:sysClr val="windowText" lastClr="000000"/>
              </a:solidFill>
              <a:effectLst/>
              <a:latin typeface="+mn-lt"/>
              <a:ea typeface="+mn-ea"/>
              <a:cs typeface="+mn-cs"/>
            </a:rPr>
            <a:t> entered on Form 8E will auto-populate here. You may alter them as needed, and assign alternate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escalators to each, or leave them as per Form 8E</a:t>
          </a:r>
          <a:r>
            <a:rPr lang="en-US" sz="1100" b="0" i="0">
              <a:solidFill>
                <a:sysClr val="windowText" lastClr="000000"/>
              </a:solidFill>
              <a:effectLst/>
              <a:latin typeface="+mn-lt"/>
              <a:ea typeface="+mn-ea"/>
              <a:cs typeface="+mn-cs"/>
            </a:rPr>
            <a:t>.</a:t>
          </a:r>
          <a:endParaRPr lang="en-US"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8F: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76199</xdr:colOff>
      <xdr:row>0</xdr:row>
      <xdr:rowOff>66675</xdr:rowOff>
    </xdr:from>
    <xdr:to>
      <xdr:col>12</xdr:col>
      <xdr:colOff>104774</xdr:colOff>
      <xdr:row>9</xdr:row>
      <xdr:rowOff>95250</xdr:rowOff>
    </xdr:to>
    <xdr:sp macro="" textlink="">
      <xdr:nvSpPr>
        <xdr:cNvPr id="2" name="TextBox 1"/>
        <xdr:cNvSpPr txBox="1"/>
      </xdr:nvSpPr>
      <xdr:spPr>
        <a:xfrm>
          <a:off x="76199" y="66675"/>
          <a:ext cx="8486775" cy="1743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xdr:colOff>
      <xdr:row>0</xdr:row>
      <xdr:rowOff>95250</xdr:rowOff>
    </xdr:from>
    <xdr:to>
      <xdr:col>11</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28575</xdr:colOff>
      <xdr:row>0</xdr:row>
      <xdr:rowOff>66674</xdr:rowOff>
    </xdr:from>
    <xdr:to>
      <xdr:col>15</xdr:col>
      <xdr:colOff>28575</xdr:colOff>
      <xdr:row>11</xdr:row>
      <xdr:rowOff>190499</xdr:rowOff>
    </xdr:to>
    <xdr:sp macro="" textlink="">
      <xdr:nvSpPr>
        <xdr:cNvPr id="2" name="TextBox 1"/>
        <xdr:cNvSpPr txBox="1"/>
      </xdr:nvSpPr>
      <xdr:spPr>
        <a:xfrm>
          <a:off x="142875" y="66674"/>
          <a:ext cx="7277100" cy="2219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438149</xdr:colOff>
      <xdr:row>7</xdr:row>
      <xdr:rowOff>1</xdr:rowOff>
    </xdr:from>
    <xdr:to>
      <xdr:col>14</xdr:col>
      <xdr:colOff>28575</xdr:colOff>
      <xdr:row>10</xdr:row>
      <xdr:rowOff>85726</xdr:rowOff>
    </xdr:to>
    <xdr:sp macro="" textlink="">
      <xdr:nvSpPr>
        <xdr:cNvPr id="3" name="TextBox 2">
          <a:hlinkClick xmlns:r="http://schemas.openxmlformats.org/officeDocument/2006/relationships" r:id="rId1"/>
        </xdr:cNvPr>
        <xdr:cNvSpPr txBox="1"/>
      </xdr:nvSpPr>
      <xdr:spPr bwMode="auto">
        <a:xfrm>
          <a:off x="5333999" y="1333501"/>
          <a:ext cx="1971676" cy="65722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14</xdr:col>
      <xdr:colOff>104775</xdr:colOff>
      <xdr:row>11</xdr:row>
      <xdr:rowOff>85725</xdr:rowOff>
    </xdr:to>
    <xdr:sp macro="" textlink="">
      <xdr:nvSpPr>
        <xdr:cNvPr id="2" name="TextBox 1"/>
        <xdr:cNvSpPr txBox="1"/>
      </xdr:nvSpPr>
      <xdr:spPr>
        <a:xfrm>
          <a:off x="104775" y="76200"/>
          <a:ext cx="727710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5</xdr:row>
      <xdr:rowOff>9526</xdr:rowOff>
    </xdr:from>
    <xdr:to>
      <xdr:col>13</xdr:col>
      <xdr:colOff>561976</xdr:colOff>
      <xdr:row>9</xdr:row>
      <xdr:rowOff>95250</xdr:rowOff>
    </xdr:to>
    <xdr:sp macro="" textlink="">
      <xdr:nvSpPr>
        <xdr:cNvPr id="3" name="TextBox 2">
          <a:hlinkClick xmlns:r="http://schemas.openxmlformats.org/officeDocument/2006/relationships" r:id="rId1"/>
        </xdr:cNvPr>
        <xdr:cNvSpPr txBox="1"/>
      </xdr:nvSpPr>
      <xdr:spPr bwMode="auto">
        <a:xfrm>
          <a:off x="5305425" y="962026"/>
          <a:ext cx="1962151"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9.xml"/><Relationship Id="rId1" Type="http://schemas.openxmlformats.org/officeDocument/2006/relationships/printerSettings" Target="../printerSettings/printerSettings50.bin"/><Relationship Id="rId4" Type="http://schemas.openxmlformats.org/officeDocument/2006/relationships/comments" Target="../comments5.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workbookViewId="0">
      <selection activeCell="B26" sqref="B26"/>
    </sheetView>
  </sheetViews>
  <sheetFormatPr defaultRowHeight="15" x14ac:dyDescent="0.25"/>
  <cols>
    <col min="1" max="1" width="17.42578125" style="1744" bestFit="1" customWidth="1"/>
    <col min="2" max="2" width="33.140625" style="1744" bestFit="1" customWidth="1"/>
    <col min="3" max="16384" width="9.140625" style="1744"/>
  </cols>
  <sheetData>
    <row r="3" spans="1:2" x14ac:dyDescent="0.25">
      <c r="A3" s="753" t="s">
        <v>727</v>
      </c>
      <c r="B3" s="688"/>
    </row>
    <row r="4" spans="1:2" x14ac:dyDescent="0.25">
      <c r="B4" s="685" t="s">
        <v>712</v>
      </c>
    </row>
    <row r="5" spans="1:2" x14ac:dyDescent="0.25">
      <c r="B5" s="685" t="s">
        <v>713</v>
      </c>
    </row>
    <row r="6" spans="1:2" x14ac:dyDescent="0.25">
      <c r="B6" s="685" t="s">
        <v>714</v>
      </c>
    </row>
    <row r="7" spans="1:2" x14ac:dyDescent="0.25">
      <c r="B7" s="685" t="s">
        <v>715</v>
      </c>
    </row>
    <row r="8" spans="1:2" x14ac:dyDescent="0.25">
      <c r="B8" s="685" t="s">
        <v>716</v>
      </c>
    </row>
    <row r="9" spans="1:2" x14ac:dyDescent="0.25">
      <c r="B9" s="685" t="s">
        <v>717</v>
      </c>
    </row>
    <row r="10" spans="1:2" x14ac:dyDescent="0.25">
      <c r="B10" s="685" t="s">
        <v>718</v>
      </c>
    </row>
    <row r="11" spans="1:2" x14ac:dyDescent="0.25">
      <c r="B11" s="685" t="s">
        <v>719</v>
      </c>
    </row>
    <row r="12" spans="1:2" x14ac:dyDescent="0.25">
      <c r="B12" s="685" t="s">
        <v>1348</v>
      </c>
    </row>
    <row r="13" spans="1:2" x14ac:dyDescent="0.25">
      <c r="B13" s="685" t="s">
        <v>720</v>
      </c>
    </row>
    <row r="14" spans="1:2" x14ac:dyDescent="0.25">
      <c r="B14" s="685" t="s">
        <v>721</v>
      </c>
    </row>
    <row r="15" spans="1:2" x14ac:dyDescent="0.25">
      <c r="B15" s="685" t="s">
        <v>722</v>
      </c>
    </row>
    <row r="16" spans="1:2" x14ac:dyDescent="0.25">
      <c r="B16" s="685" t="s">
        <v>723</v>
      </c>
    </row>
    <row r="17" spans="2:2" x14ac:dyDescent="0.25">
      <c r="B17" s="685" t="s">
        <v>724</v>
      </c>
    </row>
    <row r="18" spans="2:2" x14ac:dyDescent="0.25">
      <c r="B18" s="685" t="s">
        <v>725</v>
      </c>
    </row>
    <row r="19" spans="2:2" x14ac:dyDescent="0.25">
      <c r="B19" s="685" t="s">
        <v>726</v>
      </c>
    </row>
    <row r="20" spans="2:2" x14ac:dyDescent="0.25">
      <c r="B20" s="685" t="s">
        <v>644</v>
      </c>
    </row>
    <row r="21" spans="2:2" x14ac:dyDescent="0.25">
      <c r="B21" s="686" t="s">
        <v>1347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topLeftCell="A7" zoomScaleNormal="100" workbookViewId="0">
      <selection activeCell="O13" sqref="O13"/>
    </sheetView>
  </sheetViews>
  <sheetFormatPr defaultRowHeight="15" x14ac:dyDescent="0.25"/>
  <sheetData/>
  <pageMargins left="0.25" right="0.25" top="0.75" bottom="0.75" header="0.3" footer="0.3"/>
  <pageSetup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5"/>
  <sheetViews>
    <sheetView showGridLines="0" tabSelected="1" topLeftCell="A25" zoomScaleNormal="100" workbookViewId="0">
      <selection activeCell="G54" sqref="G54:O54"/>
    </sheetView>
  </sheetViews>
  <sheetFormatPr defaultRowHeight="15" x14ac:dyDescent="0.25"/>
  <cols>
    <col min="1" max="1" width="2.85546875" style="838" customWidth="1"/>
    <col min="2" max="3" width="1.42578125" style="838" customWidth="1"/>
    <col min="4" max="4" width="11" style="838" customWidth="1"/>
    <col min="5" max="5" width="9.140625" style="838"/>
    <col min="6" max="6" width="4" style="838" customWidth="1"/>
    <col min="7" max="9" width="9.140625" style="838"/>
    <col min="10" max="10" width="4" style="838" customWidth="1"/>
    <col min="11" max="12" width="9.140625" style="838"/>
    <col min="13" max="13" width="4" style="838" bestFit="1" customWidth="1"/>
    <col min="14" max="14" width="6" style="838" customWidth="1"/>
    <col min="15" max="15" width="9.140625" style="838"/>
    <col min="16" max="17" width="1.42578125" style="838" customWidth="1"/>
    <col min="18" max="16384" width="9.140625" style="838"/>
  </cols>
  <sheetData>
    <row r="1" spans="2:17" ht="15.75" thickBot="1" x14ac:dyDescent="0.3"/>
    <row r="2" spans="2:17" ht="7.5" customHeight="1" x14ac:dyDescent="0.25">
      <c r="B2" s="804"/>
      <c r="C2" s="805"/>
      <c r="D2" s="805"/>
      <c r="E2" s="805"/>
      <c r="F2" s="805"/>
      <c r="G2" s="805"/>
      <c r="H2" s="805"/>
      <c r="I2" s="805"/>
      <c r="J2" s="805"/>
      <c r="K2" s="805"/>
      <c r="L2" s="805"/>
      <c r="M2" s="805"/>
      <c r="N2" s="805"/>
      <c r="O2" s="805"/>
      <c r="P2" s="805"/>
      <c r="Q2" s="841"/>
    </row>
    <row r="3" spans="2:17" ht="18.75" x14ac:dyDescent="0.3">
      <c r="B3" s="806"/>
      <c r="C3" s="2106" t="s">
        <v>0</v>
      </c>
      <c r="D3" s="2106"/>
      <c r="E3" s="2106"/>
      <c r="F3" s="2106"/>
      <c r="G3" s="2106"/>
      <c r="H3" s="2106"/>
      <c r="I3" s="2106"/>
      <c r="J3" s="2106"/>
      <c r="K3" s="2106"/>
      <c r="L3" s="2106"/>
      <c r="M3" s="2106"/>
      <c r="N3" s="2106"/>
      <c r="O3" s="2106"/>
      <c r="P3" s="2106"/>
      <c r="Q3" s="842"/>
    </row>
    <row r="4" spans="2:17" x14ac:dyDescent="0.25">
      <c r="B4" s="806"/>
      <c r="C4" s="212"/>
      <c r="D4" s="212"/>
      <c r="E4" s="212"/>
      <c r="F4" s="212"/>
      <c r="G4" s="212"/>
      <c r="H4" s="212"/>
      <c r="I4" s="212"/>
      <c r="J4" s="212"/>
      <c r="K4" s="212"/>
      <c r="L4" s="212"/>
      <c r="M4" s="212"/>
      <c r="N4" s="212"/>
      <c r="O4" s="212"/>
      <c r="P4" s="212"/>
      <c r="Q4" s="842"/>
    </row>
    <row r="5" spans="2:17" ht="18.75" x14ac:dyDescent="0.3">
      <c r="B5" s="806"/>
      <c r="C5" s="271" t="s">
        <v>1</v>
      </c>
      <c r="D5" s="41"/>
      <c r="E5" s="354"/>
      <c r="F5" s="354"/>
      <c r="G5" s="2123" t="s">
        <v>1426</v>
      </c>
      <c r="H5" s="2123"/>
      <c r="I5" s="2123"/>
      <c r="J5" s="2123"/>
      <c r="K5" s="2123"/>
      <c r="L5" s="2123"/>
      <c r="M5" s="2123"/>
      <c r="N5" s="2123"/>
      <c r="O5" s="2123"/>
      <c r="P5" s="212"/>
      <c r="Q5" s="842"/>
    </row>
    <row r="6" spans="2:17" ht="3.75" customHeight="1" x14ac:dyDescent="0.25">
      <c r="B6" s="806"/>
      <c r="C6" s="217"/>
      <c r="D6" s="354"/>
      <c r="E6" s="354"/>
      <c r="F6" s="354"/>
      <c r="G6" s="807"/>
      <c r="H6" s="807"/>
      <c r="I6" s="807"/>
      <c r="J6" s="807"/>
      <c r="K6" s="807"/>
      <c r="L6" s="807"/>
      <c r="M6" s="807"/>
      <c r="N6" s="807"/>
      <c r="O6" s="807"/>
      <c r="P6" s="212"/>
      <c r="Q6" s="842"/>
    </row>
    <row r="7" spans="2:17" x14ac:dyDescent="0.25">
      <c r="B7" s="806"/>
      <c r="C7" s="808" t="s">
        <v>2</v>
      </c>
      <c r="D7" s="354"/>
      <c r="E7" s="354"/>
      <c r="F7" s="354"/>
      <c r="G7" s="807"/>
      <c r="H7" s="807"/>
      <c r="I7" s="807"/>
      <c r="J7" s="807"/>
      <c r="K7" s="807"/>
      <c r="L7" s="807"/>
      <c r="M7" s="807"/>
      <c r="N7" s="807"/>
      <c r="O7" s="807"/>
      <c r="P7" s="212"/>
      <c r="Q7" s="842"/>
    </row>
    <row r="8" spans="2:17" x14ac:dyDescent="0.25">
      <c r="B8" s="806"/>
      <c r="C8" s="809" t="s">
        <v>3</v>
      </c>
      <c r="D8" s="354"/>
      <c r="E8" s="354"/>
      <c r="F8" s="354"/>
      <c r="G8" s="2124" t="s">
        <v>1430</v>
      </c>
      <c r="H8" s="2124"/>
      <c r="I8" s="2124"/>
      <c r="J8" s="2124"/>
      <c r="K8" s="2124"/>
      <c r="L8" s="2124"/>
      <c r="M8" s="2124"/>
      <c r="N8" s="2124"/>
      <c r="O8" s="2124"/>
      <c r="P8" s="212"/>
      <c r="Q8" s="842"/>
    </row>
    <row r="9" spans="2:17" ht="3.75" customHeight="1" x14ac:dyDescent="0.25">
      <c r="B9" s="806"/>
      <c r="C9" s="809"/>
      <c r="D9" s="354"/>
      <c r="E9" s="354"/>
      <c r="F9" s="354"/>
      <c r="G9" s="807"/>
      <c r="H9" s="807"/>
      <c r="I9" s="807"/>
      <c r="J9" s="807"/>
      <c r="K9" s="807"/>
      <c r="L9" s="807"/>
      <c r="M9" s="807"/>
      <c r="N9" s="807"/>
      <c r="O9" s="807"/>
      <c r="P9" s="212"/>
      <c r="Q9" s="842"/>
    </row>
    <row r="10" spans="2:17" x14ac:dyDescent="0.25">
      <c r="B10" s="806"/>
      <c r="C10" s="809" t="s">
        <v>4</v>
      </c>
      <c r="D10" s="354"/>
      <c r="E10" s="354"/>
      <c r="F10" s="354"/>
      <c r="G10" s="2120" t="s">
        <v>1432</v>
      </c>
      <c r="H10" s="2120"/>
      <c r="I10" s="2120"/>
      <c r="J10" s="2120"/>
      <c r="K10" s="2120"/>
      <c r="L10" s="2120"/>
      <c r="M10" s="2120"/>
      <c r="N10" s="2120"/>
      <c r="O10" s="2120"/>
      <c r="P10" s="212"/>
      <c r="Q10" s="842"/>
    </row>
    <row r="11" spans="2:17" ht="3.75" customHeight="1" x14ac:dyDescent="0.25">
      <c r="B11" s="806"/>
      <c r="C11" s="810"/>
      <c r="D11" s="354"/>
      <c r="E11" s="354"/>
      <c r="F11" s="354"/>
      <c r="G11" s="807"/>
      <c r="H11" s="807"/>
      <c r="I11" s="807"/>
      <c r="J11" s="807"/>
      <c r="K11" s="807"/>
      <c r="L11" s="807"/>
      <c r="M11" s="807"/>
      <c r="N11" s="807"/>
      <c r="O11" s="807"/>
      <c r="P11" s="212"/>
      <c r="Q11" s="842"/>
    </row>
    <row r="12" spans="2:17" x14ac:dyDescent="0.25">
      <c r="B12" s="806"/>
      <c r="C12" s="809" t="s">
        <v>5</v>
      </c>
      <c r="D12" s="354"/>
      <c r="E12" s="354"/>
      <c r="F12" s="354"/>
      <c r="G12" s="2120" t="s">
        <v>1433</v>
      </c>
      <c r="H12" s="2120"/>
      <c r="I12" s="811" t="s">
        <v>6</v>
      </c>
      <c r="J12" s="2121" t="s">
        <v>1434</v>
      </c>
      <c r="K12" s="2121"/>
      <c r="L12" s="2121"/>
      <c r="M12" s="2121"/>
      <c r="N12" s="2121"/>
      <c r="O12" s="2121"/>
      <c r="P12" s="212"/>
      <c r="Q12" s="842"/>
    </row>
    <row r="13" spans="2:17" ht="3.75" customHeight="1" x14ac:dyDescent="0.25">
      <c r="B13" s="806"/>
      <c r="C13" s="809"/>
      <c r="D13" s="354"/>
      <c r="E13" s="354"/>
      <c r="F13" s="354"/>
      <c r="G13" s="807"/>
      <c r="H13" s="807"/>
      <c r="I13" s="807"/>
      <c r="J13" s="807"/>
      <c r="K13" s="807"/>
      <c r="L13" s="807"/>
      <c r="M13" s="807"/>
      <c r="N13" s="807"/>
      <c r="O13" s="807"/>
      <c r="P13" s="212"/>
      <c r="Q13" s="842"/>
    </row>
    <row r="14" spans="2:17" x14ac:dyDescent="0.25">
      <c r="B14" s="806"/>
      <c r="C14" s="808" t="s">
        <v>7</v>
      </c>
      <c r="D14" s="354"/>
      <c r="E14" s="354"/>
      <c r="F14" s="354"/>
      <c r="G14" s="807"/>
      <c r="H14" s="807"/>
      <c r="I14" s="807"/>
      <c r="J14" s="807"/>
      <c r="K14" s="807"/>
      <c r="L14" s="807"/>
      <c r="M14" s="807"/>
      <c r="N14" s="807"/>
      <c r="O14" s="807"/>
      <c r="P14" s="212"/>
      <c r="Q14" s="842"/>
    </row>
    <row r="15" spans="2:17" x14ac:dyDescent="0.25">
      <c r="B15" s="806"/>
      <c r="C15" s="809" t="s">
        <v>8</v>
      </c>
      <c r="D15" s="354"/>
      <c r="E15" s="354"/>
      <c r="F15" s="354"/>
      <c r="G15" s="2124" t="s">
        <v>1431</v>
      </c>
      <c r="H15" s="2124"/>
      <c r="I15" s="2124"/>
      <c r="J15" s="2124"/>
      <c r="K15" s="2124"/>
      <c r="L15" s="2124"/>
      <c r="M15" s="2124"/>
      <c r="N15" s="2124"/>
      <c r="O15" s="2124"/>
      <c r="P15" s="212"/>
      <c r="Q15" s="842"/>
    </row>
    <row r="16" spans="2:17" ht="3.75" customHeight="1" x14ac:dyDescent="0.25">
      <c r="B16" s="806"/>
      <c r="C16" s="809"/>
      <c r="D16" s="354"/>
      <c r="E16" s="354"/>
      <c r="F16" s="354"/>
      <c r="G16" s="813"/>
      <c r="H16" s="813"/>
      <c r="I16" s="807"/>
      <c r="J16" s="813"/>
      <c r="K16" s="807"/>
      <c r="L16" s="807"/>
      <c r="M16" s="807"/>
      <c r="N16" s="807"/>
      <c r="O16" s="807"/>
      <c r="P16" s="212"/>
      <c r="Q16" s="842"/>
    </row>
    <row r="17" spans="2:17" x14ac:dyDescent="0.25">
      <c r="B17" s="806"/>
      <c r="C17" s="809" t="s">
        <v>9</v>
      </c>
      <c r="D17" s="354"/>
      <c r="E17" s="354"/>
      <c r="F17" s="354"/>
      <c r="G17" s="2120"/>
      <c r="H17" s="2120"/>
      <c r="I17" s="2120"/>
      <c r="J17" s="2120"/>
      <c r="K17" s="2120"/>
      <c r="L17" s="2120"/>
      <c r="M17" s="2120"/>
      <c r="N17" s="2120"/>
      <c r="O17" s="2120"/>
      <c r="P17" s="212"/>
      <c r="Q17" s="842"/>
    </row>
    <row r="18" spans="2:17" ht="3.75" customHeight="1" x14ac:dyDescent="0.25">
      <c r="B18" s="806"/>
      <c r="C18" s="810"/>
      <c r="D18" s="354"/>
      <c r="E18" s="354"/>
      <c r="F18" s="354"/>
      <c r="G18" s="813"/>
      <c r="H18" s="813"/>
      <c r="I18" s="807"/>
      <c r="J18" s="813"/>
      <c r="K18" s="807"/>
      <c r="L18" s="807"/>
      <c r="M18" s="807"/>
      <c r="N18" s="807"/>
      <c r="O18" s="807"/>
      <c r="P18" s="212"/>
      <c r="Q18" s="842"/>
    </row>
    <row r="19" spans="2:17" x14ac:dyDescent="0.25">
      <c r="B19" s="806"/>
      <c r="C19" s="809" t="s">
        <v>5</v>
      </c>
      <c r="D19" s="354"/>
      <c r="E19" s="354"/>
      <c r="F19" s="354"/>
      <c r="G19" s="2120"/>
      <c r="H19" s="2120"/>
      <c r="I19" s="811" t="s">
        <v>6</v>
      </c>
      <c r="J19" s="2121"/>
      <c r="K19" s="2121"/>
      <c r="L19" s="2121"/>
      <c r="M19" s="2121"/>
      <c r="N19" s="2121"/>
      <c r="O19" s="2121"/>
      <c r="P19" s="212"/>
      <c r="Q19" s="842"/>
    </row>
    <row r="20" spans="2:17" ht="3.75" customHeight="1" x14ac:dyDescent="0.25">
      <c r="B20" s="806"/>
      <c r="C20" s="809"/>
      <c r="D20" s="354"/>
      <c r="E20" s="354"/>
      <c r="F20" s="354"/>
      <c r="G20" s="807"/>
      <c r="H20" s="807"/>
      <c r="I20" s="807"/>
      <c r="J20" s="807"/>
      <c r="K20" s="807"/>
      <c r="L20" s="807"/>
      <c r="M20" s="807"/>
      <c r="N20" s="807"/>
      <c r="O20" s="807"/>
      <c r="P20" s="212"/>
      <c r="Q20" s="842"/>
    </row>
    <row r="21" spans="2:17" x14ac:dyDescent="0.25">
      <c r="B21" s="806"/>
      <c r="C21" s="212"/>
      <c r="D21" s="354" t="s">
        <v>10</v>
      </c>
      <c r="E21" s="354"/>
      <c r="F21" s="354"/>
      <c r="G21" s="354"/>
      <c r="H21" s="354"/>
      <c r="I21" s="354"/>
      <c r="J21" s="354"/>
      <c r="K21" s="354"/>
      <c r="L21" s="836"/>
      <c r="M21" s="814"/>
      <c r="N21" s="354"/>
      <c r="O21" s="354"/>
      <c r="P21" s="212"/>
      <c r="Q21" s="842"/>
    </row>
    <row r="22" spans="2:17" ht="7.5" customHeight="1" x14ac:dyDescent="0.25">
      <c r="B22" s="806"/>
      <c r="C22" s="212"/>
      <c r="D22" s="354"/>
      <c r="E22" s="354"/>
      <c r="F22" s="354"/>
      <c r="G22" s="354"/>
      <c r="H22" s="354"/>
      <c r="I22" s="354"/>
      <c r="J22" s="354"/>
      <c r="K22" s="354"/>
      <c r="L22" s="815"/>
      <c r="M22" s="354"/>
      <c r="N22" s="815"/>
      <c r="O22" s="354"/>
      <c r="P22" s="212"/>
      <c r="Q22" s="842"/>
    </row>
    <row r="23" spans="2:17" x14ac:dyDescent="0.25">
      <c r="B23" s="806"/>
      <c r="C23" s="271" t="s">
        <v>11</v>
      </c>
      <c r="D23" s="354"/>
      <c r="E23" s="354"/>
      <c r="F23" s="354"/>
      <c r="G23" s="2120"/>
      <c r="H23" s="2120"/>
      <c r="I23" s="2120"/>
      <c r="J23" s="2120"/>
      <c r="K23" s="2120"/>
      <c r="L23" s="2120"/>
      <c r="M23" s="2120"/>
      <c r="N23" s="2120"/>
      <c r="O23" s="2120"/>
      <c r="P23" s="212"/>
      <c r="Q23" s="842"/>
    </row>
    <row r="24" spans="2:17" x14ac:dyDescent="0.25">
      <c r="B24" s="806"/>
      <c r="C24" s="212"/>
      <c r="D24" s="354"/>
      <c r="E24" s="354"/>
      <c r="F24" s="354"/>
      <c r="G24" s="813"/>
      <c r="H24" s="813"/>
      <c r="I24" s="813"/>
      <c r="J24" s="813"/>
      <c r="K24" s="813"/>
      <c r="L24" s="813"/>
      <c r="M24" s="813"/>
      <c r="N24" s="813"/>
      <c r="O24" s="813"/>
      <c r="P24" s="212"/>
      <c r="Q24" s="842"/>
    </row>
    <row r="25" spans="2:17" ht="15.75" thickBot="1" x14ac:dyDescent="0.3">
      <c r="B25" s="806"/>
      <c r="C25" s="816" t="s">
        <v>12</v>
      </c>
      <c r="D25" s="817"/>
      <c r="E25" s="817"/>
      <c r="F25" s="817"/>
      <c r="G25" s="817"/>
      <c r="H25" s="817"/>
      <c r="I25" s="817"/>
      <c r="J25" s="817"/>
      <c r="K25" s="817"/>
      <c r="L25" s="817"/>
      <c r="M25" s="817"/>
      <c r="N25" s="817"/>
      <c r="O25" s="817"/>
      <c r="P25" s="212"/>
      <c r="Q25" s="842"/>
    </row>
    <row r="26" spans="2:17" ht="3.75" customHeight="1" x14ac:dyDescent="0.25">
      <c r="B26" s="806"/>
      <c r="C26" s="818"/>
      <c r="D26" s="819"/>
      <c r="E26" s="354"/>
      <c r="F26" s="354"/>
      <c r="G26" s="807"/>
      <c r="H26" s="807"/>
      <c r="I26" s="807"/>
      <c r="J26" s="807"/>
      <c r="K26" s="807"/>
      <c r="L26" s="807"/>
      <c r="M26" s="807"/>
      <c r="N26" s="807"/>
      <c r="O26" s="807"/>
      <c r="P26" s="212"/>
      <c r="Q26" s="842"/>
    </row>
    <row r="27" spans="2:17" x14ac:dyDescent="0.25">
      <c r="B27" s="806"/>
      <c r="C27" s="818"/>
      <c r="D27" s="2125" t="s">
        <v>1365</v>
      </c>
      <c r="E27" s="2125"/>
      <c r="F27" s="942"/>
      <c r="G27" s="1828"/>
      <c r="H27" s="1828"/>
      <c r="I27" s="1828"/>
      <c r="J27" s="1828"/>
      <c r="K27" s="1828"/>
      <c r="L27" s="1828"/>
      <c r="M27" s="1828"/>
      <c r="N27" s="1828"/>
      <c r="O27" s="1828"/>
      <c r="P27" s="212"/>
      <c r="Q27" s="842"/>
    </row>
    <row r="28" spans="2:17" ht="3.75" customHeight="1" x14ac:dyDescent="0.25">
      <c r="B28" s="806"/>
      <c r="C28" s="818"/>
      <c r="D28" s="819"/>
      <c r="E28" s="942"/>
      <c r="F28" s="942"/>
      <c r="G28" s="1828"/>
      <c r="H28" s="1828"/>
      <c r="I28" s="1828"/>
      <c r="J28" s="1828"/>
      <c r="K28" s="1828"/>
      <c r="L28" s="1828"/>
      <c r="M28" s="1828"/>
      <c r="N28" s="1828"/>
      <c r="O28" s="1828"/>
      <c r="P28" s="212"/>
      <c r="Q28" s="842"/>
    </row>
    <row r="29" spans="2:17" x14ac:dyDescent="0.25">
      <c r="B29" s="806"/>
      <c r="C29" s="818"/>
      <c r="D29" s="2107" t="s">
        <v>1396</v>
      </c>
      <c r="E29" s="2107"/>
      <c r="F29" s="942"/>
      <c r="G29" s="2120" t="s">
        <v>1428</v>
      </c>
      <c r="H29" s="2120"/>
      <c r="I29" s="2120"/>
      <c r="J29" s="2120"/>
      <c r="K29" s="2120"/>
      <c r="L29" s="2120"/>
      <c r="M29" s="2120"/>
      <c r="N29" s="2120"/>
      <c r="O29" s="2120"/>
      <c r="P29" s="212"/>
      <c r="Q29" s="842"/>
    </row>
    <row r="30" spans="2:17" ht="3.75" customHeight="1" x14ac:dyDescent="0.25">
      <c r="B30" s="806"/>
      <c r="C30" s="818"/>
      <c r="D30" s="819"/>
      <c r="E30" s="942"/>
      <c r="F30" s="942"/>
      <c r="G30" s="1828"/>
      <c r="H30" s="1828"/>
      <c r="I30" s="1828"/>
      <c r="J30" s="1828"/>
      <c r="K30" s="1828"/>
      <c r="L30" s="1828"/>
      <c r="M30" s="1828"/>
      <c r="N30" s="1828"/>
      <c r="O30" s="1828"/>
      <c r="P30" s="212"/>
      <c r="Q30" s="842"/>
    </row>
    <row r="31" spans="2:17" x14ac:dyDescent="0.25">
      <c r="B31" s="806"/>
      <c r="C31" s="818"/>
      <c r="D31" s="2107" t="s">
        <v>13</v>
      </c>
      <c r="E31" s="2107"/>
      <c r="F31" s="354"/>
      <c r="G31" s="2120" t="s">
        <v>1435</v>
      </c>
      <c r="H31" s="2120"/>
      <c r="I31" s="2120"/>
      <c r="J31" s="2120"/>
      <c r="K31" s="2120"/>
      <c r="L31" s="2120"/>
      <c r="M31" s="2120"/>
      <c r="N31" s="2120"/>
      <c r="O31" s="2120"/>
      <c r="P31" s="212"/>
      <c r="Q31" s="842"/>
    </row>
    <row r="32" spans="2:17" ht="3.75" customHeight="1" x14ac:dyDescent="0.25">
      <c r="B32" s="806"/>
      <c r="C32" s="809"/>
      <c r="D32" s="401"/>
      <c r="E32" s="354"/>
      <c r="F32" s="354"/>
      <c r="G32" s="813"/>
      <c r="H32" s="813"/>
      <c r="I32" s="813"/>
      <c r="J32" s="813"/>
      <c r="K32" s="813"/>
      <c r="L32" s="813"/>
      <c r="M32" s="813"/>
      <c r="N32" s="813"/>
      <c r="O32" s="813"/>
      <c r="P32" s="212"/>
      <c r="Q32" s="842"/>
    </row>
    <row r="33" spans="2:17" x14ac:dyDescent="0.25">
      <c r="B33" s="806"/>
      <c r="C33" s="809"/>
      <c r="D33" s="401" t="s">
        <v>14</v>
      </c>
      <c r="E33" s="354"/>
      <c r="F33" s="354"/>
      <c r="G33" s="2121" t="s">
        <v>1436</v>
      </c>
      <c r="H33" s="2121"/>
      <c r="I33" s="811" t="s">
        <v>15</v>
      </c>
      <c r="J33" s="2120" t="s">
        <v>811</v>
      </c>
      <c r="K33" s="2120"/>
      <c r="L33" s="811" t="s">
        <v>16</v>
      </c>
      <c r="M33" s="2120">
        <v>98105</v>
      </c>
      <c r="N33" s="2120"/>
      <c r="O33" s="2120"/>
      <c r="P33" s="212"/>
      <c r="Q33" s="842"/>
    </row>
    <row r="34" spans="2:17" ht="3.75" customHeight="1" x14ac:dyDescent="0.25">
      <c r="B34" s="806"/>
      <c r="C34" s="818"/>
      <c r="D34" s="401"/>
      <c r="E34" s="354"/>
      <c r="F34" s="354"/>
      <c r="G34" s="807"/>
      <c r="H34" s="807"/>
      <c r="I34" s="807"/>
      <c r="J34" s="807"/>
      <c r="K34" s="807"/>
      <c r="L34" s="807"/>
      <c r="M34" s="807"/>
      <c r="N34" s="807"/>
      <c r="O34" s="807"/>
      <c r="P34" s="212"/>
      <c r="Q34" s="842"/>
    </row>
    <row r="35" spans="2:17" x14ac:dyDescent="0.25">
      <c r="B35" s="806"/>
      <c r="C35" s="818"/>
      <c r="D35" s="401" t="s">
        <v>17</v>
      </c>
      <c r="E35" s="354"/>
      <c r="F35" s="354"/>
      <c r="G35" s="2120" t="s">
        <v>1676</v>
      </c>
      <c r="H35" s="2120"/>
      <c r="I35" s="354"/>
      <c r="J35" s="354"/>
      <c r="K35" s="811" t="s">
        <v>18</v>
      </c>
      <c r="L35" s="2120" t="s">
        <v>1677</v>
      </c>
      <c r="M35" s="2120"/>
      <c r="N35" s="2120"/>
      <c r="O35" s="2120"/>
      <c r="P35" s="212"/>
      <c r="Q35" s="842"/>
    </row>
    <row r="36" spans="2:17" ht="3.75" customHeight="1" x14ac:dyDescent="0.25">
      <c r="B36" s="806"/>
      <c r="C36" s="818"/>
      <c r="D36" s="401"/>
      <c r="E36" s="354"/>
      <c r="F36" s="354"/>
      <c r="G36" s="807"/>
      <c r="H36" s="807"/>
      <c r="I36" s="807"/>
      <c r="J36" s="807"/>
      <c r="K36" s="807"/>
      <c r="L36" s="807"/>
      <c r="M36" s="807"/>
      <c r="N36" s="807"/>
      <c r="O36" s="807"/>
      <c r="P36" s="212"/>
      <c r="Q36" s="842"/>
    </row>
    <row r="37" spans="2:17" x14ac:dyDescent="0.25">
      <c r="B37" s="806"/>
      <c r="C37" s="818"/>
      <c r="D37" s="401" t="s">
        <v>19</v>
      </c>
      <c r="E37" s="354"/>
      <c r="F37" s="354"/>
      <c r="G37" s="1835" t="s">
        <v>1679</v>
      </c>
      <c r="H37" s="811" t="s">
        <v>20</v>
      </c>
      <c r="I37" s="796">
        <v>47.66</v>
      </c>
      <c r="J37" s="354"/>
      <c r="K37" s="811" t="s">
        <v>21</v>
      </c>
      <c r="L37" s="2120">
        <v>-122.27</v>
      </c>
      <c r="M37" s="2120"/>
      <c r="N37" s="2120"/>
      <c r="O37" s="2120"/>
      <c r="P37" s="212"/>
      <c r="Q37" s="842"/>
    </row>
    <row r="38" spans="2:17" ht="3.75" customHeight="1" x14ac:dyDescent="0.25">
      <c r="B38" s="806"/>
      <c r="C38" s="656"/>
      <c r="D38" s="401"/>
      <c r="E38" s="354"/>
      <c r="F38" s="354"/>
      <c r="G38" s="807"/>
      <c r="H38" s="807"/>
      <c r="I38" s="807"/>
      <c r="J38" s="807"/>
      <c r="K38" s="807"/>
      <c r="L38" s="807"/>
      <c r="M38" s="807"/>
      <c r="N38" s="807"/>
      <c r="O38" s="807"/>
      <c r="P38" s="212"/>
      <c r="Q38" s="842"/>
    </row>
    <row r="39" spans="2:17" x14ac:dyDescent="0.25">
      <c r="B39" s="806"/>
      <c r="C39" s="818"/>
      <c r="D39" s="401" t="s">
        <v>22</v>
      </c>
      <c r="E39" s="354"/>
      <c r="F39" s="354"/>
      <c r="G39" s="2120" t="s">
        <v>1680</v>
      </c>
      <c r="H39" s="2120"/>
      <c r="I39" s="2120"/>
      <c r="J39" s="2120"/>
      <c r="K39" s="2120"/>
      <c r="L39" s="2120"/>
      <c r="M39" s="2120"/>
      <c r="N39" s="2120"/>
      <c r="O39" s="2120"/>
      <c r="P39" s="212"/>
      <c r="Q39" s="842"/>
    </row>
    <row r="40" spans="2:17" ht="7.5" customHeight="1" x14ac:dyDescent="0.25">
      <c r="B40" s="806"/>
      <c r="C40" s="656"/>
      <c r="D40" s="942"/>
      <c r="E40" s="942"/>
      <c r="F40" s="942"/>
      <c r="G40" s="1828"/>
      <c r="H40" s="1828"/>
      <c r="I40" s="1828"/>
      <c r="J40" s="1828"/>
      <c r="K40" s="1828"/>
      <c r="L40" s="1828"/>
      <c r="M40" s="1828"/>
      <c r="N40" s="1828"/>
      <c r="O40" s="1828"/>
      <c r="P40" s="212"/>
      <c r="Q40" s="842"/>
    </row>
    <row r="41" spans="2:17" ht="3.75" customHeight="1" x14ac:dyDescent="0.25">
      <c r="B41" s="806"/>
      <c r="C41" s="1874"/>
      <c r="D41" s="482"/>
      <c r="E41" s="482"/>
      <c r="F41" s="482"/>
      <c r="G41" s="1875"/>
      <c r="H41" s="1875"/>
      <c r="I41" s="1875"/>
      <c r="J41" s="1875"/>
      <c r="K41" s="1875"/>
      <c r="L41" s="1875"/>
      <c r="M41" s="1875"/>
      <c r="N41" s="1875"/>
      <c r="O41" s="1875"/>
      <c r="P41" s="212"/>
      <c r="Q41" s="842"/>
    </row>
    <row r="42" spans="2:17" x14ac:dyDescent="0.25">
      <c r="B42" s="806"/>
      <c r="C42" s="818"/>
      <c r="D42" s="2125" t="s">
        <v>1366</v>
      </c>
      <c r="E42" s="2125"/>
      <c r="F42" s="942"/>
      <c r="G42" s="1828"/>
      <c r="H42" s="1828"/>
      <c r="I42" s="1828"/>
      <c r="J42" s="1828"/>
      <c r="K42" s="1828"/>
      <c r="L42" s="1828"/>
      <c r="M42" s="1828"/>
      <c r="N42" s="1828"/>
      <c r="O42" s="1828"/>
      <c r="P42" s="212"/>
      <c r="Q42" s="842"/>
    </row>
    <row r="43" spans="2:17" ht="3.75" customHeight="1" x14ac:dyDescent="0.25">
      <c r="B43" s="806"/>
      <c r="C43" s="818"/>
      <c r="D43" s="819"/>
      <c r="E43" s="942"/>
      <c r="F43" s="942"/>
      <c r="G43" s="1828"/>
      <c r="H43" s="1828"/>
      <c r="I43" s="1828"/>
      <c r="J43" s="1828"/>
      <c r="K43" s="1828"/>
      <c r="L43" s="1828"/>
      <c r="M43" s="1828"/>
      <c r="N43" s="1828"/>
      <c r="O43" s="1828"/>
      <c r="P43" s="212"/>
      <c r="Q43" s="842"/>
    </row>
    <row r="44" spans="2:17" x14ac:dyDescent="0.25">
      <c r="B44" s="806"/>
      <c r="C44" s="818"/>
      <c r="D44" s="2107" t="s">
        <v>1396</v>
      </c>
      <c r="E44" s="2107"/>
      <c r="F44" s="942"/>
      <c r="G44" s="2120" t="s">
        <v>1427</v>
      </c>
      <c r="H44" s="2120"/>
      <c r="I44" s="2120"/>
      <c r="J44" s="2120"/>
      <c r="K44" s="2120"/>
      <c r="L44" s="2120"/>
      <c r="M44" s="2120"/>
      <c r="N44" s="2120"/>
      <c r="O44" s="2120"/>
      <c r="P44" s="212"/>
      <c r="Q44" s="842"/>
    </row>
    <row r="45" spans="2:17" ht="3.75" customHeight="1" x14ac:dyDescent="0.25">
      <c r="B45" s="806"/>
      <c r="C45" s="818"/>
      <c r="D45" s="819"/>
      <c r="E45" s="942"/>
      <c r="F45" s="942"/>
      <c r="G45" s="1828"/>
      <c r="H45" s="1828"/>
      <c r="I45" s="1828"/>
      <c r="J45" s="1828"/>
      <c r="K45" s="1828"/>
      <c r="L45" s="1828"/>
      <c r="M45" s="1828"/>
      <c r="N45" s="1828"/>
      <c r="O45" s="1828"/>
      <c r="P45" s="212"/>
      <c r="Q45" s="842"/>
    </row>
    <row r="46" spans="2:17" x14ac:dyDescent="0.25">
      <c r="B46" s="806"/>
      <c r="C46" s="818"/>
      <c r="D46" s="2107" t="s">
        <v>13</v>
      </c>
      <c r="E46" s="2107"/>
      <c r="F46" s="942"/>
      <c r="G46" s="2120" t="s">
        <v>1429</v>
      </c>
      <c r="H46" s="2120"/>
      <c r="I46" s="2120"/>
      <c r="J46" s="2120"/>
      <c r="K46" s="2120"/>
      <c r="L46" s="2120"/>
      <c r="M46" s="2120"/>
      <c r="N46" s="2120"/>
      <c r="O46" s="2120"/>
      <c r="P46" s="212"/>
      <c r="Q46" s="842"/>
    </row>
    <row r="47" spans="2:17" ht="3.75" customHeight="1" x14ac:dyDescent="0.25">
      <c r="B47" s="806"/>
      <c r="C47" s="809"/>
      <c r="D47" s="1820"/>
      <c r="E47" s="942"/>
      <c r="F47" s="942"/>
      <c r="G47" s="813"/>
      <c r="H47" s="813"/>
      <c r="I47" s="813"/>
      <c r="J47" s="813"/>
      <c r="K47" s="813"/>
      <c r="L47" s="813"/>
      <c r="M47" s="813"/>
      <c r="N47" s="813"/>
      <c r="O47" s="813"/>
      <c r="P47" s="212"/>
      <c r="Q47" s="842"/>
    </row>
    <row r="48" spans="2:17" x14ac:dyDescent="0.25">
      <c r="B48" s="806"/>
      <c r="C48" s="809"/>
      <c r="D48" s="1820" t="s">
        <v>14</v>
      </c>
      <c r="E48" s="942"/>
      <c r="F48" s="942"/>
      <c r="G48" s="2121" t="s">
        <v>1436</v>
      </c>
      <c r="H48" s="2121"/>
      <c r="I48" s="811" t="s">
        <v>15</v>
      </c>
      <c r="J48" s="2120" t="s">
        <v>811</v>
      </c>
      <c r="K48" s="2120"/>
      <c r="L48" s="811" t="s">
        <v>16</v>
      </c>
      <c r="M48" s="2120">
        <v>98105</v>
      </c>
      <c r="N48" s="2120"/>
      <c r="O48" s="2120"/>
      <c r="P48" s="212"/>
      <c r="Q48" s="842"/>
    </row>
    <row r="49" spans="2:17" ht="3.75" customHeight="1" x14ac:dyDescent="0.25">
      <c r="B49" s="806"/>
      <c r="C49" s="818"/>
      <c r="D49" s="1820"/>
      <c r="E49" s="942"/>
      <c r="F49" s="942"/>
      <c r="G49" s="1828"/>
      <c r="H49" s="1828"/>
      <c r="I49" s="1828"/>
      <c r="J49" s="1828"/>
      <c r="K49" s="1828"/>
      <c r="L49" s="1828"/>
      <c r="M49" s="1828"/>
      <c r="N49" s="1828"/>
      <c r="O49" s="1828"/>
      <c r="P49" s="212"/>
      <c r="Q49" s="842"/>
    </row>
    <row r="50" spans="2:17" x14ac:dyDescent="0.25">
      <c r="B50" s="806"/>
      <c r="C50" s="818"/>
      <c r="D50" s="1820" t="s">
        <v>17</v>
      </c>
      <c r="E50" s="942"/>
      <c r="F50" s="942"/>
      <c r="G50" s="2120" t="s">
        <v>1676</v>
      </c>
      <c r="H50" s="2120"/>
      <c r="I50" s="942"/>
      <c r="J50" s="942"/>
      <c r="K50" s="811" t="s">
        <v>18</v>
      </c>
      <c r="L50" s="2120" t="s">
        <v>1678</v>
      </c>
      <c r="M50" s="2120"/>
      <c r="N50" s="2120"/>
      <c r="O50" s="2120"/>
      <c r="P50" s="212"/>
      <c r="Q50" s="842"/>
    </row>
    <row r="51" spans="2:17" ht="3.75" customHeight="1" x14ac:dyDescent="0.25">
      <c r="B51" s="806"/>
      <c r="C51" s="818"/>
      <c r="D51" s="1820"/>
      <c r="E51" s="942"/>
      <c r="F51" s="942"/>
      <c r="G51" s="1828"/>
      <c r="H51" s="1828"/>
      <c r="I51" s="1828"/>
      <c r="J51" s="1828"/>
      <c r="K51" s="1828"/>
      <c r="L51" s="1828"/>
      <c r="M51" s="1828"/>
      <c r="N51" s="1828"/>
      <c r="O51" s="1828"/>
      <c r="P51" s="212"/>
      <c r="Q51" s="842"/>
    </row>
    <row r="52" spans="2:17" x14ac:dyDescent="0.25">
      <c r="B52" s="806"/>
      <c r="C52" s="818"/>
      <c r="D52" s="1820" t="s">
        <v>19</v>
      </c>
      <c r="E52" s="942"/>
      <c r="F52" s="942"/>
      <c r="G52" s="1835" t="s">
        <v>1679</v>
      </c>
      <c r="H52" s="811" t="s">
        <v>20</v>
      </c>
      <c r="I52" s="1819">
        <v>47.66</v>
      </c>
      <c r="J52" s="942"/>
      <c r="K52" s="811" t="s">
        <v>21</v>
      </c>
      <c r="L52" s="2120">
        <v>-122.27</v>
      </c>
      <c r="M52" s="2120"/>
      <c r="N52" s="2120"/>
      <c r="O52" s="2120"/>
      <c r="P52" s="212"/>
      <c r="Q52" s="842"/>
    </row>
    <row r="53" spans="2:17" ht="3.75" customHeight="1" x14ac:dyDescent="0.25">
      <c r="B53" s="806"/>
      <c r="C53" s="656"/>
      <c r="D53" s="1820"/>
      <c r="E53" s="942"/>
      <c r="F53" s="942"/>
      <c r="G53" s="1828"/>
      <c r="H53" s="1828"/>
      <c r="I53" s="1828"/>
      <c r="J53" s="1828"/>
      <c r="K53" s="1828"/>
      <c r="L53" s="1828"/>
      <c r="M53" s="1828"/>
      <c r="N53" s="1828"/>
      <c r="O53" s="1828"/>
      <c r="P53" s="212"/>
      <c r="Q53" s="842"/>
    </row>
    <row r="54" spans="2:17" x14ac:dyDescent="0.25">
      <c r="B54" s="806"/>
      <c r="C54" s="818"/>
      <c r="D54" s="1820" t="s">
        <v>22</v>
      </c>
      <c r="E54" s="942"/>
      <c r="F54" s="942"/>
      <c r="G54" s="2120" t="s">
        <v>1680</v>
      </c>
      <c r="H54" s="2120"/>
      <c r="I54" s="2120"/>
      <c r="J54" s="2120"/>
      <c r="K54" s="2120"/>
      <c r="L54" s="2120"/>
      <c r="M54" s="2120"/>
      <c r="N54" s="2120"/>
      <c r="O54" s="2120"/>
      <c r="P54" s="212"/>
      <c r="Q54" s="842"/>
    </row>
    <row r="55" spans="2:17" ht="7.5" customHeight="1" x14ac:dyDescent="0.25">
      <c r="B55" s="806"/>
      <c r="C55" s="656"/>
      <c r="D55" s="942"/>
      <c r="E55" s="942"/>
      <c r="F55" s="942"/>
      <c r="G55" s="1828"/>
      <c r="H55" s="1828"/>
      <c r="I55" s="1828"/>
      <c r="J55" s="1828"/>
      <c r="K55" s="1828"/>
      <c r="L55" s="1828"/>
      <c r="M55" s="1828"/>
      <c r="N55" s="1828"/>
      <c r="O55" s="1828"/>
      <c r="P55" s="212"/>
      <c r="Q55" s="842"/>
    </row>
    <row r="56" spans="2:17" ht="15.75" thickBot="1" x14ac:dyDescent="0.3">
      <c r="B56" s="806"/>
      <c r="C56" s="816" t="s">
        <v>641</v>
      </c>
      <c r="D56" s="817"/>
      <c r="E56" s="817"/>
      <c r="F56" s="817"/>
      <c r="G56" s="817"/>
      <c r="H56" s="817"/>
      <c r="I56" s="817"/>
      <c r="J56" s="817"/>
      <c r="K56" s="817"/>
      <c r="L56" s="817"/>
      <c r="M56" s="817"/>
      <c r="N56" s="817"/>
      <c r="O56" s="817"/>
      <c r="P56" s="212"/>
      <c r="Q56" s="842"/>
    </row>
    <row r="57" spans="2:17" ht="3.75" customHeight="1" x14ac:dyDescent="0.25">
      <c r="B57" s="806"/>
      <c r="C57" s="212"/>
      <c r="D57" s="354"/>
      <c r="E57" s="401"/>
      <c r="F57" s="401"/>
      <c r="G57" s="401"/>
      <c r="H57" s="401"/>
      <c r="I57" s="401"/>
      <c r="J57" s="401"/>
      <c r="K57" s="401"/>
      <c r="L57" s="354"/>
      <c r="M57" s="354"/>
      <c r="N57" s="354"/>
      <c r="O57" s="354"/>
      <c r="P57" s="212"/>
      <c r="Q57" s="842"/>
    </row>
    <row r="58" spans="2:17" x14ac:dyDescent="0.25">
      <c r="B58" s="806"/>
      <c r="C58" s="212"/>
      <c r="D58" s="354"/>
      <c r="E58" s="820" t="s">
        <v>23</v>
      </c>
      <c r="F58" s="837"/>
      <c r="G58" s="2118" t="s">
        <v>24</v>
      </c>
      <c r="H58" s="2108"/>
      <c r="I58" s="2119"/>
      <c r="J58" s="837"/>
      <c r="K58" s="815"/>
      <c r="L58" s="820" t="s">
        <v>25</v>
      </c>
      <c r="M58" s="837" t="s">
        <v>1441</v>
      </c>
      <c r="N58" s="821"/>
      <c r="O58" s="354"/>
      <c r="P58" s="212"/>
      <c r="Q58" s="842"/>
    </row>
    <row r="59" spans="2:17" ht="3.75" customHeight="1" x14ac:dyDescent="0.25">
      <c r="B59" s="806"/>
      <c r="C59" s="212"/>
      <c r="D59" s="354"/>
      <c r="E59" s="820"/>
      <c r="F59" s="822"/>
      <c r="G59" s="2108"/>
      <c r="H59" s="2108"/>
      <c r="I59" s="2108"/>
      <c r="J59" s="823"/>
      <c r="K59" s="822"/>
      <c r="L59" s="401"/>
      <c r="M59" s="401"/>
      <c r="N59" s="821"/>
      <c r="O59" s="354"/>
      <c r="P59" s="212"/>
      <c r="Q59" s="842"/>
    </row>
    <row r="60" spans="2:17" x14ac:dyDescent="0.25">
      <c r="B60" s="806"/>
      <c r="C60" s="212"/>
      <c r="D60" s="354"/>
      <c r="E60" s="820" t="s">
        <v>26</v>
      </c>
      <c r="F60" s="837"/>
      <c r="G60" s="2118" t="s">
        <v>27</v>
      </c>
      <c r="H60" s="2108"/>
      <c r="I60" s="2119"/>
      <c r="J60" s="837"/>
      <c r="K60" s="824"/>
      <c r="L60" s="820" t="s">
        <v>28</v>
      </c>
      <c r="M60" s="837"/>
      <c r="N60" s="821"/>
      <c r="O60" s="354"/>
      <c r="P60" s="212"/>
      <c r="Q60" s="842"/>
    </row>
    <row r="61" spans="2:17" ht="3.75" customHeight="1" x14ac:dyDescent="0.25">
      <c r="B61" s="806"/>
      <c r="C61" s="212"/>
      <c r="D61" s="354"/>
      <c r="E61" s="820"/>
      <c r="F61" s="822"/>
      <c r="G61" s="2108"/>
      <c r="H61" s="2108"/>
      <c r="I61" s="2108"/>
      <c r="J61" s="823"/>
      <c r="K61" s="822"/>
      <c r="L61" s="354"/>
      <c r="M61" s="354"/>
      <c r="N61" s="354"/>
      <c r="O61" s="354"/>
      <c r="P61" s="212"/>
      <c r="Q61" s="842"/>
    </row>
    <row r="62" spans="2:17" x14ac:dyDescent="0.25">
      <c r="B62" s="806"/>
      <c r="C62" s="212"/>
      <c r="D62" s="354"/>
      <c r="E62" s="820" t="s">
        <v>29</v>
      </c>
      <c r="F62" s="837" t="s">
        <v>1441</v>
      </c>
      <c r="G62" s="2118" t="s">
        <v>30</v>
      </c>
      <c r="H62" s="2108"/>
      <c r="I62" s="2119"/>
      <c r="J62" s="837"/>
      <c r="K62" s="815"/>
      <c r="L62" s="822"/>
      <c r="M62" s="822"/>
      <c r="N62" s="354"/>
      <c r="O62" s="354"/>
      <c r="P62" s="212"/>
      <c r="Q62" s="842"/>
    </row>
    <row r="63" spans="2:17" ht="3.75" customHeight="1" x14ac:dyDescent="0.25">
      <c r="B63" s="806"/>
      <c r="C63" s="212"/>
      <c r="D63" s="354"/>
      <c r="E63" s="822"/>
      <c r="F63" s="822"/>
      <c r="G63" s="822"/>
      <c r="H63" s="822"/>
      <c r="I63" s="822"/>
      <c r="J63" s="822"/>
      <c r="K63" s="822"/>
      <c r="L63" s="354"/>
      <c r="M63" s="354"/>
      <c r="N63" s="354"/>
      <c r="O63" s="354"/>
      <c r="P63" s="212"/>
      <c r="Q63" s="842"/>
    </row>
    <row r="64" spans="2:17" x14ac:dyDescent="0.25">
      <c r="B64" s="806"/>
      <c r="C64" s="212"/>
      <c r="D64" s="354"/>
      <c r="E64" s="825" t="s">
        <v>31</v>
      </c>
      <c r="F64" s="837"/>
      <c r="G64" s="2118" t="s">
        <v>32</v>
      </c>
      <c r="H64" s="2108"/>
      <c r="I64" s="2119"/>
      <c r="J64" s="837"/>
      <c r="K64" s="826"/>
      <c r="L64" s="354"/>
      <c r="M64" s="354"/>
      <c r="N64" s="354"/>
      <c r="O64" s="354"/>
      <c r="P64" s="212"/>
      <c r="Q64" s="842"/>
    </row>
    <row r="65" spans="2:17" ht="3.75" customHeight="1" x14ac:dyDescent="0.25">
      <c r="B65" s="806"/>
      <c r="C65" s="212"/>
      <c r="D65" s="354"/>
      <c r="E65" s="820"/>
      <c r="F65" s="815"/>
      <c r="G65" s="820"/>
      <c r="H65" s="820"/>
      <c r="I65" s="820"/>
      <c r="J65" s="826"/>
      <c r="K65" s="826"/>
      <c r="L65" s="354"/>
      <c r="M65" s="354"/>
      <c r="N65" s="354"/>
      <c r="O65" s="354"/>
      <c r="P65" s="212"/>
      <c r="Q65" s="842"/>
    </row>
    <row r="66" spans="2:17" x14ac:dyDescent="0.25">
      <c r="B66" s="806"/>
      <c r="C66" s="212"/>
      <c r="D66" s="354" t="s">
        <v>33</v>
      </c>
      <c r="E66" s="354"/>
      <c r="F66" s="354"/>
      <c r="G66" s="822"/>
      <c r="H66" s="354"/>
      <c r="I66" s="827"/>
      <c r="J66" s="826"/>
      <c r="K66" s="826"/>
      <c r="L66" s="354"/>
      <c r="M66" s="354"/>
      <c r="N66" s="354"/>
      <c r="O66" s="354"/>
      <c r="P66" s="212"/>
      <c r="Q66" s="842"/>
    </row>
    <row r="67" spans="2:17" ht="3.75" customHeight="1" x14ac:dyDescent="0.25">
      <c r="B67" s="806"/>
      <c r="C67" s="212"/>
      <c r="D67" s="354"/>
      <c r="E67" s="401"/>
      <c r="F67" s="822"/>
      <c r="G67" s="822"/>
      <c r="H67" s="354"/>
      <c r="I67" s="827"/>
      <c r="J67" s="826"/>
      <c r="K67" s="826"/>
      <c r="L67" s="354"/>
      <c r="M67" s="354"/>
      <c r="N67" s="354"/>
      <c r="O67" s="354"/>
      <c r="P67" s="212"/>
      <c r="Q67" s="842"/>
    </row>
    <row r="68" spans="2:17" x14ac:dyDescent="0.25">
      <c r="B68" s="806"/>
      <c r="C68" s="212"/>
      <c r="D68" s="2109" t="s">
        <v>1407</v>
      </c>
      <c r="E68" s="2110"/>
      <c r="F68" s="2110"/>
      <c r="G68" s="2110"/>
      <c r="H68" s="2110"/>
      <c r="I68" s="2110"/>
      <c r="J68" s="2110"/>
      <c r="K68" s="2110"/>
      <c r="L68" s="2110"/>
      <c r="M68" s="2110"/>
      <c r="N68" s="2110"/>
      <c r="O68" s="2111"/>
      <c r="P68" s="212"/>
      <c r="Q68" s="842"/>
    </row>
    <row r="69" spans="2:17" x14ac:dyDescent="0.25">
      <c r="B69" s="806"/>
      <c r="C69" s="212"/>
      <c r="D69" s="2112"/>
      <c r="E69" s="2113"/>
      <c r="F69" s="2113"/>
      <c r="G69" s="2113"/>
      <c r="H69" s="2113"/>
      <c r="I69" s="2113"/>
      <c r="J69" s="2113"/>
      <c r="K69" s="2113"/>
      <c r="L69" s="2113"/>
      <c r="M69" s="2113"/>
      <c r="N69" s="2113"/>
      <c r="O69" s="2114"/>
      <c r="P69" s="212"/>
      <c r="Q69" s="842"/>
    </row>
    <row r="70" spans="2:17" x14ac:dyDescent="0.25">
      <c r="B70" s="806"/>
      <c r="C70" s="212"/>
      <c r="D70" s="2112"/>
      <c r="E70" s="2113"/>
      <c r="F70" s="2113"/>
      <c r="G70" s="2113"/>
      <c r="H70" s="2113"/>
      <c r="I70" s="2113"/>
      <c r="J70" s="2113"/>
      <c r="K70" s="2113"/>
      <c r="L70" s="2113"/>
      <c r="M70" s="2113"/>
      <c r="N70" s="2113"/>
      <c r="O70" s="2114"/>
      <c r="P70" s="212"/>
      <c r="Q70" s="842"/>
    </row>
    <row r="71" spans="2:17" x14ac:dyDescent="0.25">
      <c r="B71" s="806"/>
      <c r="C71" s="212"/>
      <c r="D71" s="2112"/>
      <c r="E71" s="2113"/>
      <c r="F71" s="2113"/>
      <c r="G71" s="2113"/>
      <c r="H71" s="2113"/>
      <c r="I71" s="2113"/>
      <c r="J71" s="2113"/>
      <c r="K71" s="2113"/>
      <c r="L71" s="2113"/>
      <c r="M71" s="2113"/>
      <c r="N71" s="2113"/>
      <c r="O71" s="2114"/>
      <c r="P71" s="212"/>
      <c r="Q71" s="842"/>
    </row>
    <row r="72" spans="2:17" x14ac:dyDescent="0.25">
      <c r="B72" s="806"/>
      <c r="C72" s="212"/>
      <c r="D72" s="2115"/>
      <c r="E72" s="2116"/>
      <c r="F72" s="2116"/>
      <c r="G72" s="2116"/>
      <c r="H72" s="2116"/>
      <c r="I72" s="2116"/>
      <c r="J72" s="2116"/>
      <c r="K72" s="2116"/>
      <c r="L72" s="2116"/>
      <c r="M72" s="2116"/>
      <c r="N72" s="2116"/>
      <c r="O72" s="2117"/>
      <c r="P72" s="212"/>
      <c r="Q72" s="842"/>
    </row>
    <row r="73" spans="2:17" ht="7.5" customHeight="1" thickBot="1" x14ac:dyDescent="0.3">
      <c r="B73" s="806"/>
      <c r="C73" s="212"/>
      <c r="D73" s="828"/>
      <c r="E73" s="828"/>
      <c r="F73" s="829"/>
      <c r="G73" s="828"/>
      <c r="H73" s="2122"/>
      <c r="I73" s="2122"/>
      <c r="J73" s="2122"/>
      <c r="K73" s="2122"/>
      <c r="L73" s="2122"/>
      <c r="M73" s="2122"/>
      <c r="N73" s="2122"/>
      <c r="O73" s="830"/>
      <c r="P73" s="212"/>
      <c r="Q73" s="842"/>
    </row>
    <row r="74" spans="2:17" ht="15" customHeight="1" thickTop="1" thickBot="1" x14ac:dyDescent="0.3">
      <c r="B74" s="806"/>
      <c r="C74" s="212"/>
      <c r="D74" s="271" t="s">
        <v>35</v>
      </c>
      <c r="E74" s="354"/>
      <c r="F74" s="831">
        <f>'1B - 4%'!L23+'1B - 9%'!L23</f>
        <v>133</v>
      </c>
      <c r="G74" s="354"/>
      <c r="H74" s="2122"/>
      <c r="I74" s="2122"/>
      <c r="J74" s="2122"/>
      <c r="K74" s="2122"/>
      <c r="L74" s="2122"/>
      <c r="M74" s="2122"/>
      <c r="N74" s="2122"/>
      <c r="O74" s="830"/>
      <c r="P74" s="212"/>
      <c r="Q74" s="842"/>
    </row>
    <row r="75" spans="2:17" ht="7.5" customHeight="1" thickTop="1" thickBot="1" x14ac:dyDescent="0.3">
      <c r="B75" s="833"/>
      <c r="C75" s="834"/>
      <c r="D75" s="834"/>
      <c r="E75" s="834"/>
      <c r="F75" s="698"/>
      <c r="G75" s="834"/>
      <c r="H75" s="834"/>
      <c r="I75" s="834"/>
      <c r="J75" s="834"/>
      <c r="K75" s="835"/>
      <c r="L75" s="698"/>
      <c r="M75" s="698"/>
      <c r="N75" s="698"/>
      <c r="O75" s="834"/>
      <c r="P75" s="834"/>
      <c r="Q75" s="843"/>
    </row>
  </sheetData>
  <sheetProtection password="9F6B" sheet="1" objects="1" scenarios="1" formatCells="0" formatColumns="0" formatRows="0"/>
  <mergeCells count="43">
    <mergeCell ref="D27:E27"/>
    <mergeCell ref="D42:E42"/>
    <mergeCell ref="D29:E29"/>
    <mergeCell ref="G29:O29"/>
    <mergeCell ref="D44:E44"/>
    <mergeCell ref="G44:O44"/>
    <mergeCell ref="G39:O39"/>
    <mergeCell ref="D46:E46"/>
    <mergeCell ref="G46:O46"/>
    <mergeCell ref="G48:H48"/>
    <mergeCell ref="J48:K48"/>
    <mergeCell ref="M48:O48"/>
    <mergeCell ref="H73:N74"/>
    <mergeCell ref="G5:O5"/>
    <mergeCell ref="G8:O8"/>
    <mergeCell ref="G10:O10"/>
    <mergeCell ref="G15:O15"/>
    <mergeCell ref="G17:O17"/>
    <mergeCell ref="G23:O23"/>
    <mergeCell ref="G12:H12"/>
    <mergeCell ref="J12:O12"/>
    <mergeCell ref="G19:H19"/>
    <mergeCell ref="J19:O19"/>
    <mergeCell ref="G50:H50"/>
    <mergeCell ref="L50:O50"/>
    <mergeCell ref="L52:O52"/>
    <mergeCell ref="G54:O54"/>
    <mergeCell ref="C3:P3"/>
    <mergeCell ref="D31:E31"/>
    <mergeCell ref="G59:I59"/>
    <mergeCell ref="D68:O72"/>
    <mergeCell ref="G60:I60"/>
    <mergeCell ref="G61:I61"/>
    <mergeCell ref="G62:I62"/>
    <mergeCell ref="G64:I64"/>
    <mergeCell ref="G58:I58"/>
    <mergeCell ref="G35:H35"/>
    <mergeCell ref="L35:O35"/>
    <mergeCell ref="G31:O31"/>
    <mergeCell ref="G33:H33"/>
    <mergeCell ref="J33:K33"/>
    <mergeCell ref="M33:O33"/>
    <mergeCell ref="L37:O37"/>
  </mergeCells>
  <conditionalFormatting sqref="F58 F60 F62 F64 J58 J60 J62 J64 M58 M60">
    <cfRule type="cellIs" dxfId="58" priority="1" operator="equal">
      <formula>"X"</formula>
    </cfRule>
  </conditionalFormatting>
  <dataValidations count="2">
    <dataValidation type="list" allowBlank="1" showInputMessage="1" showErrorMessage="1" sqref="L21">
      <formula1>"Yes,No"</formula1>
    </dataValidation>
    <dataValidation type="list" allowBlank="1" showInputMessage="1" showErrorMessage="1" sqref="F58 F60 M60 M58 J64 J62 J60 J58 F64 F62">
      <formula1>"X"</formula1>
    </dataValidation>
  </dataValidations>
  <pageMargins left="0.7" right="0.7" top="0.75" bottom="0.75" header="0.3" footer="0.3"/>
  <pageSetup scale="92" orientation="portrait" r:id="rId1"/>
  <headerFooter>
    <oddFooter>&amp;LForm 1A
Project Summary&amp;CCFA Forms&amp;REdition 2015
Version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zoomScaleNormal="100" workbookViewId="0">
      <selection activeCell="G18" sqref="G18"/>
    </sheetView>
  </sheetViews>
  <sheetFormatPr defaultRowHeight="15" x14ac:dyDescent="0.25"/>
  <cols>
    <col min="1" max="2" width="1.7109375" style="844" customWidth="1"/>
    <col min="3" max="3" width="14" style="844" bestFit="1" customWidth="1"/>
    <col min="4" max="11" width="9.140625" style="844"/>
    <col min="12" max="12" width="10.5703125" style="844" bestFit="1" customWidth="1"/>
    <col min="13" max="14" width="1.7109375" style="844" customWidth="1"/>
    <col min="15" max="16384" width="9.140625" style="844"/>
  </cols>
  <sheetData>
    <row r="1" spans="2:13" ht="9" customHeight="1" thickBot="1" x14ac:dyDescent="0.3"/>
    <row r="2" spans="2:13" ht="9" customHeight="1" x14ac:dyDescent="0.25">
      <c r="B2" s="804"/>
      <c r="C2" s="805"/>
      <c r="D2" s="805"/>
      <c r="E2" s="805"/>
      <c r="F2" s="805"/>
      <c r="G2" s="805"/>
      <c r="H2" s="805"/>
      <c r="I2" s="805"/>
      <c r="J2" s="805"/>
      <c r="K2" s="805"/>
      <c r="L2" s="805"/>
      <c r="M2" s="841"/>
    </row>
    <row r="3" spans="2:13" ht="18.75" x14ac:dyDescent="0.3">
      <c r="B3" s="806"/>
      <c r="C3" s="2127" t="s">
        <v>1368</v>
      </c>
      <c r="D3" s="2127"/>
      <c r="E3" s="2127"/>
      <c r="F3" s="2127"/>
      <c r="G3" s="2127"/>
      <c r="H3" s="2127"/>
      <c r="I3" s="2127"/>
      <c r="J3" s="2127"/>
      <c r="K3" s="2127"/>
      <c r="L3" s="2127"/>
      <c r="M3" s="842"/>
    </row>
    <row r="4" spans="2:13" x14ac:dyDescent="0.25">
      <c r="B4" s="806"/>
      <c r="C4" s="212"/>
      <c r="D4" s="212"/>
      <c r="E4" s="212"/>
      <c r="F4" s="212"/>
      <c r="G4" s="212"/>
      <c r="H4" s="212"/>
      <c r="I4" s="212"/>
      <c r="J4" s="212"/>
      <c r="K4" s="212"/>
      <c r="L4" s="212"/>
      <c r="M4" s="842"/>
    </row>
    <row r="5" spans="2:13" x14ac:dyDescent="0.25">
      <c r="B5" s="806"/>
      <c r="C5" s="656" t="s">
        <v>1</v>
      </c>
      <c r="D5" s="2126" t="str">
        <f>IF('1A'!G5="","Enter Project Name on Form 1A",'1A'!G5)</f>
        <v>University District Apartments</v>
      </c>
      <c r="E5" s="2126"/>
      <c r="F5" s="2126"/>
      <c r="G5" s="2126"/>
      <c r="H5" s="2126"/>
      <c r="I5" s="212"/>
      <c r="J5" s="212"/>
      <c r="K5" s="212"/>
      <c r="L5" s="212"/>
      <c r="M5" s="842"/>
    </row>
    <row r="6" spans="2:13" ht="3.75" customHeight="1" x14ac:dyDescent="0.25">
      <c r="B6" s="806"/>
      <c r="C6" s="217"/>
      <c r="D6" s="212"/>
      <c r="E6" s="212"/>
      <c r="F6" s="212"/>
      <c r="G6" s="212"/>
      <c r="H6" s="212"/>
      <c r="I6" s="212"/>
      <c r="J6" s="212"/>
      <c r="K6" s="212"/>
      <c r="L6" s="212"/>
      <c r="M6" s="842"/>
    </row>
    <row r="7" spans="2:13" x14ac:dyDescent="0.25">
      <c r="B7" s="806"/>
      <c r="C7" s="656" t="s">
        <v>1397</v>
      </c>
      <c r="D7" s="2126" t="str">
        <f>IF('1A'!G29="","Enter Site Name on Form 1A",'1A'!G29)</f>
        <v>Project A-  4%</v>
      </c>
      <c r="E7" s="2126"/>
      <c r="F7" s="2126"/>
      <c r="G7" s="2126"/>
      <c r="H7" s="2126"/>
      <c r="I7" s="212"/>
      <c r="J7" s="212"/>
      <c r="K7" s="212"/>
      <c r="L7" s="212"/>
      <c r="M7" s="842"/>
    </row>
    <row r="8" spans="2:13" ht="7.5" customHeight="1" thickBot="1" x14ac:dyDescent="0.3">
      <c r="B8" s="806"/>
      <c r="C8" s="217"/>
      <c r="D8" s="212"/>
      <c r="E8" s="212"/>
      <c r="F8" s="212"/>
      <c r="G8" s="212"/>
      <c r="H8" s="212"/>
      <c r="I8" s="212"/>
      <c r="J8" s="212"/>
      <c r="K8" s="212"/>
      <c r="L8" s="212"/>
      <c r="M8" s="842"/>
    </row>
    <row r="9" spans="2:13" ht="30.75" thickBot="1" x14ac:dyDescent="0.3">
      <c r="B9" s="857"/>
      <c r="C9" s="858" t="s">
        <v>36</v>
      </c>
      <c r="D9" s="859" t="s">
        <v>37</v>
      </c>
      <c r="E9" s="860" t="s">
        <v>38</v>
      </c>
      <c r="F9" s="860" t="s">
        <v>39</v>
      </c>
      <c r="G9" s="860" t="s">
        <v>40</v>
      </c>
      <c r="H9" s="860" t="s">
        <v>41</v>
      </c>
      <c r="I9" s="861" t="s">
        <v>42</v>
      </c>
      <c r="J9" s="861" t="s">
        <v>43</v>
      </c>
      <c r="K9" s="1543" t="s">
        <v>44</v>
      </c>
      <c r="L9" s="1549" t="s">
        <v>45</v>
      </c>
      <c r="M9" s="862"/>
    </row>
    <row r="10" spans="2:13" x14ac:dyDescent="0.25">
      <c r="B10" s="857"/>
      <c r="C10" s="863">
        <v>0.25</v>
      </c>
      <c r="D10" s="845"/>
      <c r="E10" s="846"/>
      <c r="F10" s="846"/>
      <c r="G10" s="846"/>
      <c r="H10" s="846"/>
      <c r="I10" s="847"/>
      <c r="J10" s="847"/>
      <c r="K10" s="1544"/>
      <c r="L10" s="1550">
        <f t="shared" ref="L10:L19" si="0">SUM(D10:K10)</f>
        <v>0</v>
      </c>
      <c r="M10" s="862"/>
    </row>
    <row r="11" spans="2:13" x14ac:dyDescent="0.25">
      <c r="B11" s="857"/>
      <c r="C11" s="1539">
        <v>0.3</v>
      </c>
      <c r="D11" s="1540"/>
      <c r="E11" s="848"/>
      <c r="F11" s="848"/>
      <c r="G11" s="848"/>
      <c r="H11" s="848"/>
      <c r="I11" s="849"/>
      <c r="J11" s="849"/>
      <c r="K11" s="1545"/>
      <c r="L11" s="1551">
        <f t="shared" si="0"/>
        <v>0</v>
      </c>
      <c r="M11" s="862"/>
    </row>
    <row r="12" spans="2:13" x14ac:dyDescent="0.25">
      <c r="B12" s="857"/>
      <c r="C12" s="1539">
        <v>0.35</v>
      </c>
      <c r="D12" s="1540"/>
      <c r="E12" s="848"/>
      <c r="F12" s="848"/>
      <c r="G12" s="848"/>
      <c r="H12" s="848"/>
      <c r="I12" s="849"/>
      <c r="J12" s="849"/>
      <c r="K12" s="1545"/>
      <c r="L12" s="1551">
        <f t="shared" si="0"/>
        <v>0</v>
      </c>
      <c r="M12" s="862"/>
    </row>
    <row r="13" spans="2:13" x14ac:dyDescent="0.25">
      <c r="B13" s="857"/>
      <c r="C13" s="1539">
        <v>0.4</v>
      </c>
      <c r="D13" s="1540"/>
      <c r="E13" s="848"/>
      <c r="F13" s="848"/>
      <c r="G13" s="848"/>
      <c r="H13" s="848"/>
      <c r="I13" s="849"/>
      <c r="J13" s="849"/>
      <c r="K13" s="1545"/>
      <c r="L13" s="1551">
        <f t="shared" si="0"/>
        <v>0</v>
      </c>
      <c r="M13" s="862"/>
    </row>
    <row r="14" spans="2:13" x14ac:dyDescent="0.25">
      <c r="B14" s="857"/>
      <c r="C14" s="1539">
        <v>0.45</v>
      </c>
      <c r="D14" s="1540"/>
      <c r="E14" s="848"/>
      <c r="F14" s="848"/>
      <c r="G14" s="848"/>
      <c r="H14" s="848"/>
      <c r="I14" s="849"/>
      <c r="J14" s="849"/>
      <c r="K14" s="1545"/>
      <c r="L14" s="1551">
        <f t="shared" si="0"/>
        <v>0</v>
      </c>
      <c r="M14" s="862"/>
    </row>
    <row r="15" spans="2:13" x14ac:dyDescent="0.25">
      <c r="B15" s="857"/>
      <c r="C15" s="1539">
        <v>0.5</v>
      </c>
      <c r="D15" s="1540"/>
      <c r="E15" s="848"/>
      <c r="F15" s="848"/>
      <c r="G15" s="848"/>
      <c r="H15" s="848"/>
      <c r="I15" s="849"/>
      <c r="J15" s="849"/>
      <c r="K15" s="1545"/>
      <c r="L15" s="1551">
        <f t="shared" si="0"/>
        <v>0</v>
      </c>
      <c r="M15" s="862"/>
    </row>
    <row r="16" spans="2:13" x14ac:dyDescent="0.25">
      <c r="B16" s="857"/>
      <c r="C16" s="1539">
        <v>0.55000000000000004</v>
      </c>
      <c r="D16" s="1540"/>
      <c r="E16" s="848"/>
      <c r="F16" s="848"/>
      <c r="G16" s="848"/>
      <c r="H16" s="848"/>
      <c r="I16" s="849"/>
      <c r="J16" s="849"/>
      <c r="K16" s="1545"/>
      <c r="L16" s="1551">
        <f t="shared" si="0"/>
        <v>0</v>
      </c>
      <c r="M16" s="862"/>
    </row>
    <row r="17" spans="2:13" x14ac:dyDescent="0.25">
      <c r="B17" s="857"/>
      <c r="C17" s="1539">
        <v>0.6</v>
      </c>
      <c r="D17" s="1540"/>
      <c r="E17" s="848"/>
      <c r="F17" s="848">
        <v>12</v>
      </c>
      <c r="G17" s="848">
        <v>34</v>
      </c>
      <c r="H17" s="848">
        <v>21</v>
      </c>
      <c r="I17" s="849">
        <v>12</v>
      </c>
      <c r="J17" s="849"/>
      <c r="K17" s="1545"/>
      <c r="L17" s="1551">
        <f t="shared" si="0"/>
        <v>79</v>
      </c>
      <c r="M17" s="862"/>
    </row>
    <row r="18" spans="2:13" x14ac:dyDescent="0.25">
      <c r="B18" s="857"/>
      <c r="C18" s="1539">
        <v>0.65</v>
      </c>
      <c r="D18" s="1541"/>
      <c r="E18" s="1542"/>
      <c r="F18" s="1542"/>
      <c r="G18" s="1542"/>
      <c r="H18" s="1542"/>
      <c r="I18" s="1542"/>
      <c r="J18" s="1542"/>
      <c r="K18" s="1546"/>
      <c r="L18" s="1551">
        <f t="shared" si="0"/>
        <v>0</v>
      </c>
      <c r="M18" s="862"/>
    </row>
    <row r="19" spans="2:13" x14ac:dyDescent="0.25">
      <c r="B19" s="857"/>
      <c r="C19" s="1539">
        <v>0.8</v>
      </c>
      <c r="D19" s="1540"/>
      <c r="E19" s="848"/>
      <c r="F19" s="848"/>
      <c r="G19" s="848"/>
      <c r="H19" s="848"/>
      <c r="I19" s="849"/>
      <c r="J19" s="849"/>
      <c r="K19" s="1545"/>
      <c r="L19" s="1551">
        <f t="shared" si="0"/>
        <v>0</v>
      </c>
      <c r="M19" s="862"/>
    </row>
    <row r="20" spans="2:13" ht="25.5" x14ac:dyDescent="0.25">
      <c r="B20" s="857"/>
      <c r="C20" s="864" t="s">
        <v>46</v>
      </c>
      <c r="D20" s="865">
        <f t="shared" ref="D20:L20" si="1">SUM(D10:D19)</f>
        <v>0</v>
      </c>
      <c r="E20" s="866">
        <f t="shared" si="1"/>
        <v>0</v>
      </c>
      <c r="F20" s="866">
        <f t="shared" si="1"/>
        <v>12</v>
      </c>
      <c r="G20" s="866">
        <f t="shared" si="1"/>
        <v>34</v>
      </c>
      <c r="H20" s="866">
        <f t="shared" si="1"/>
        <v>21</v>
      </c>
      <c r="I20" s="867">
        <f t="shared" si="1"/>
        <v>12</v>
      </c>
      <c r="J20" s="867">
        <f t="shared" si="1"/>
        <v>0</v>
      </c>
      <c r="K20" s="1547">
        <f t="shared" si="1"/>
        <v>0</v>
      </c>
      <c r="L20" s="868">
        <f t="shared" si="1"/>
        <v>79</v>
      </c>
      <c r="M20" s="862"/>
    </row>
    <row r="21" spans="2:13" x14ac:dyDescent="0.25">
      <c r="B21" s="857"/>
      <c r="C21" s="869" t="s">
        <v>47</v>
      </c>
      <c r="D21" s="845"/>
      <c r="E21" s="846"/>
      <c r="F21" s="846"/>
      <c r="G21" s="846"/>
      <c r="H21" s="846"/>
      <c r="I21" s="847"/>
      <c r="J21" s="847"/>
      <c r="K21" s="1544"/>
      <c r="L21" s="1552">
        <f>SUM(D21:K21)</f>
        <v>0</v>
      </c>
      <c r="M21" s="862"/>
    </row>
    <row r="22" spans="2:13" ht="15.75" thickBot="1" x14ac:dyDescent="0.3">
      <c r="B22" s="857"/>
      <c r="C22" s="870" t="s">
        <v>48</v>
      </c>
      <c r="D22" s="850"/>
      <c r="E22" s="851"/>
      <c r="F22" s="851"/>
      <c r="G22" s="851">
        <v>1</v>
      </c>
      <c r="H22" s="851"/>
      <c r="I22" s="852"/>
      <c r="J22" s="852"/>
      <c r="K22" s="1548"/>
      <c r="L22" s="1553">
        <f>SUM(D22:K22)</f>
        <v>1</v>
      </c>
      <c r="M22" s="862"/>
    </row>
    <row r="23" spans="2:13" ht="16.5" thickTop="1" thickBot="1" x14ac:dyDescent="0.3">
      <c r="B23" s="857"/>
      <c r="C23" s="871" t="s">
        <v>49</v>
      </c>
      <c r="D23" s="872">
        <f>D20+D21+D22</f>
        <v>0</v>
      </c>
      <c r="E23" s="873">
        <f t="shared" ref="E23:K23" si="2">E20+E21+E22</f>
        <v>0</v>
      </c>
      <c r="F23" s="873">
        <f t="shared" si="2"/>
        <v>12</v>
      </c>
      <c r="G23" s="873">
        <f t="shared" si="2"/>
        <v>35</v>
      </c>
      <c r="H23" s="873">
        <f t="shared" si="2"/>
        <v>21</v>
      </c>
      <c r="I23" s="874">
        <f t="shared" si="2"/>
        <v>12</v>
      </c>
      <c r="J23" s="874">
        <f t="shared" si="2"/>
        <v>0</v>
      </c>
      <c r="K23" s="874">
        <f t="shared" si="2"/>
        <v>0</v>
      </c>
      <c r="L23" s="1555">
        <f>SUM(L20:L22)</f>
        <v>80</v>
      </c>
      <c r="M23" s="862"/>
    </row>
    <row r="24" spans="2:13" ht="7.5" customHeight="1" thickTop="1" thickBot="1" x14ac:dyDescent="0.3">
      <c r="B24" s="857"/>
      <c r="C24" s="875"/>
      <c r="D24" s="876"/>
      <c r="E24" s="876"/>
      <c r="F24" s="876"/>
      <c r="G24" s="876"/>
      <c r="H24" s="876"/>
      <c r="I24" s="877"/>
      <c r="J24" s="877"/>
      <c r="K24" s="877"/>
      <c r="L24" s="1554"/>
      <c r="M24" s="862"/>
    </row>
    <row r="25" spans="2:13" ht="25.5" x14ac:dyDescent="0.25">
      <c r="B25" s="857"/>
      <c r="C25" s="878" t="s">
        <v>50</v>
      </c>
      <c r="D25" s="853"/>
      <c r="E25" s="854"/>
      <c r="F25" s="854">
        <v>3</v>
      </c>
      <c r="G25" s="854">
        <v>3</v>
      </c>
      <c r="H25" s="854">
        <v>3</v>
      </c>
      <c r="I25" s="854">
        <v>3</v>
      </c>
      <c r="J25" s="854"/>
      <c r="K25" s="854"/>
      <c r="L25" s="879">
        <f>SUM(D25:K25)</f>
        <v>12</v>
      </c>
      <c r="M25" s="862"/>
    </row>
    <row r="26" spans="2:13" ht="15.75" thickBot="1" x14ac:dyDescent="0.3">
      <c r="B26" s="857"/>
      <c r="C26" s="880" t="s">
        <v>642</v>
      </c>
      <c r="D26" s="855"/>
      <c r="E26" s="856"/>
      <c r="F26" s="856">
        <v>407</v>
      </c>
      <c r="G26" s="856">
        <v>519</v>
      </c>
      <c r="H26" s="856">
        <v>817</v>
      </c>
      <c r="I26" s="856">
        <v>1085</v>
      </c>
      <c r="J26" s="856"/>
      <c r="K26" s="856"/>
      <c r="L26" s="881"/>
      <c r="M26" s="862"/>
    </row>
    <row r="27" spans="2:13" ht="9" customHeight="1" thickBot="1" x14ac:dyDescent="0.3">
      <c r="B27" s="882"/>
      <c r="C27" s="883"/>
      <c r="D27" s="883"/>
      <c r="E27" s="883"/>
      <c r="F27" s="883"/>
      <c r="G27" s="883"/>
      <c r="H27" s="883"/>
      <c r="I27" s="883"/>
      <c r="J27" s="883"/>
      <c r="K27" s="883"/>
      <c r="L27" s="883"/>
      <c r="M27" s="884"/>
    </row>
  </sheetData>
  <sheetProtection password="9F6B" sheet="1" objects="1" scenarios="1" formatCells="0" formatColumns="0" formatRows="0"/>
  <mergeCells count="3">
    <mergeCell ref="D5:H5"/>
    <mergeCell ref="C3:L3"/>
    <mergeCell ref="D7:H7"/>
  </mergeCells>
  <pageMargins left="0.7" right="0.7" top="0.75" bottom="0.75" header="0.3" footer="0.3"/>
  <pageSetup orientation="landscape" r:id="rId1"/>
  <headerFooter>
    <oddFooter>&amp;LForm 1B(a)
Unit Configuration and Affordability&amp;CCFA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27"/>
  <sheetViews>
    <sheetView showGridLines="0" zoomScaleNormal="100" workbookViewId="0">
      <selection activeCell="G26" sqref="G26"/>
    </sheetView>
  </sheetViews>
  <sheetFormatPr defaultRowHeight="15" x14ac:dyDescent="0.25"/>
  <cols>
    <col min="1" max="2" width="1.7109375" style="844" customWidth="1"/>
    <col min="3" max="3" width="14" style="844" bestFit="1" customWidth="1"/>
    <col min="4" max="11" width="9.140625" style="844"/>
    <col min="12" max="12" width="10.5703125" style="844" bestFit="1" customWidth="1"/>
    <col min="13" max="14" width="1.7109375" style="844" customWidth="1"/>
    <col min="15" max="16384" width="9.140625" style="844"/>
  </cols>
  <sheetData>
    <row r="1" spans="2:13" ht="9" customHeight="1" thickBot="1" x14ac:dyDescent="0.3"/>
    <row r="2" spans="2:13" ht="9" customHeight="1" x14ac:dyDescent="0.25">
      <c r="B2" s="804"/>
      <c r="C2" s="805"/>
      <c r="D2" s="805"/>
      <c r="E2" s="805"/>
      <c r="F2" s="805"/>
      <c r="G2" s="805"/>
      <c r="H2" s="805"/>
      <c r="I2" s="805"/>
      <c r="J2" s="805"/>
      <c r="K2" s="805"/>
      <c r="L2" s="805"/>
      <c r="M2" s="841"/>
    </row>
    <row r="3" spans="2:13" ht="18.75" x14ac:dyDescent="0.3">
      <c r="B3" s="806"/>
      <c r="C3" s="2128" t="s">
        <v>1367</v>
      </c>
      <c r="D3" s="2128"/>
      <c r="E3" s="2128"/>
      <c r="F3" s="2128"/>
      <c r="G3" s="2128"/>
      <c r="H3" s="2128"/>
      <c r="I3" s="2128"/>
      <c r="J3" s="2128"/>
      <c r="K3" s="2128"/>
      <c r="L3" s="2128"/>
      <c r="M3" s="842"/>
    </row>
    <row r="4" spans="2:13" x14ac:dyDescent="0.25">
      <c r="B4" s="806"/>
      <c r="C4" s="212"/>
      <c r="D4" s="212"/>
      <c r="E4" s="212"/>
      <c r="F4" s="212"/>
      <c r="G4" s="212"/>
      <c r="H4" s="212"/>
      <c r="I4" s="212"/>
      <c r="J4" s="212"/>
      <c r="K4" s="212"/>
      <c r="L4" s="212"/>
      <c r="M4" s="842"/>
    </row>
    <row r="5" spans="2:13" x14ac:dyDescent="0.25">
      <c r="B5" s="806"/>
      <c r="C5" s="656" t="s">
        <v>1</v>
      </c>
      <c r="D5" s="2126" t="str">
        <f>IF('1A'!G5="","Enter Project Name on Form 1A",'1A'!G5)</f>
        <v>University District Apartments</v>
      </c>
      <c r="E5" s="2126"/>
      <c r="F5" s="2126"/>
      <c r="G5" s="2126"/>
      <c r="H5" s="2126"/>
      <c r="I5" s="212"/>
      <c r="J5" s="212"/>
      <c r="K5" s="212"/>
      <c r="L5" s="212"/>
      <c r="M5" s="842"/>
    </row>
    <row r="6" spans="2:13" ht="3.75" customHeight="1" x14ac:dyDescent="0.25">
      <c r="B6" s="806"/>
      <c r="C6" s="217"/>
      <c r="D6" s="212"/>
      <c r="E6" s="212"/>
      <c r="F6" s="212"/>
      <c r="G6" s="212"/>
      <c r="H6" s="212"/>
      <c r="I6" s="212"/>
      <c r="J6" s="212"/>
      <c r="K6" s="212"/>
      <c r="L6" s="212"/>
      <c r="M6" s="842"/>
    </row>
    <row r="7" spans="2:13" x14ac:dyDescent="0.25">
      <c r="B7" s="806"/>
      <c r="C7" s="656" t="s">
        <v>1397</v>
      </c>
      <c r="D7" s="2126" t="str">
        <f>IF('1A'!G44="","Enter Site Name on Form 1A",'1A'!G44)</f>
        <v>Project B - 9%</v>
      </c>
      <c r="E7" s="2126"/>
      <c r="F7" s="2126"/>
      <c r="G7" s="2126"/>
      <c r="H7" s="2126"/>
      <c r="I7" s="212"/>
      <c r="J7" s="212"/>
      <c r="K7" s="212"/>
      <c r="L7" s="212"/>
      <c r="M7" s="842"/>
    </row>
    <row r="8" spans="2:13" ht="7.5" customHeight="1" thickBot="1" x14ac:dyDescent="0.3">
      <c r="B8" s="806"/>
      <c r="C8" s="217"/>
      <c r="D8" s="212"/>
      <c r="E8" s="212"/>
      <c r="F8" s="212"/>
      <c r="G8" s="212"/>
      <c r="H8" s="212"/>
      <c r="I8" s="212"/>
      <c r="J8" s="212"/>
      <c r="K8" s="212"/>
      <c r="L8" s="212"/>
      <c r="M8" s="842"/>
    </row>
    <row r="9" spans="2:13" ht="30.75" thickBot="1" x14ac:dyDescent="0.3">
      <c r="B9" s="857"/>
      <c r="C9" s="858" t="s">
        <v>36</v>
      </c>
      <c r="D9" s="859" t="s">
        <v>37</v>
      </c>
      <c r="E9" s="860" t="s">
        <v>38</v>
      </c>
      <c r="F9" s="860" t="s">
        <v>39</v>
      </c>
      <c r="G9" s="860" t="s">
        <v>40</v>
      </c>
      <c r="H9" s="860" t="s">
        <v>41</v>
      </c>
      <c r="I9" s="861" t="s">
        <v>42</v>
      </c>
      <c r="J9" s="861" t="s">
        <v>43</v>
      </c>
      <c r="K9" s="1543" t="s">
        <v>44</v>
      </c>
      <c r="L9" s="1549" t="s">
        <v>45</v>
      </c>
      <c r="M9" s="862"/>
    </row>
    <row r="10" spans="2:13" x14ac:dyDescent="0.25">
      <c r="B10" s="857"/>
      <c r="C10" s="863">
        <v>0.25</v>
      </c>
      <c r="D10" s="845"/>
      <c r="E10" s="846"/>
      <c r="F10" s="846"/>
      <c r="G10" s="846"/>
      <c r="H10" s="846"/>
      <c r="I10" s="847"/>
      <c r="J10" s="847"/>
      <c r="K10" s="1544"/>
      <c r="L10" s="1550">
        <f t="shared" ref="L10:L19" si="0">SUM(D10:K10)</f>
        <v>0</v>
      </c>
      <c r="M10" s="862"/>
    </row>
    <row r="11" spans="2:13" x14ac:dyDescent="0.25">
      <c r="B11" s="857"/>
      <c r="C11" s="1539">
        <v>0.3</v>
      </c>
      <c r="D11" s="1540"/>
      <c r="E11" s="848"/>
      <c r="F11" s="848">
        <v>10</v>
      </c>
      <c r="G11" s="848">
        <v>10</v>
      </c>
      <c r="H11" s="848">
        <v>12</v>
      </c>
      <c r="I11" s="849">
        <v>8</v>
      </c>
      <c r="J11" s="849"/>
      <c r="K11" s="1545"/>
      <c r="L11" s="1551">
        <f t="shared" si="0"/>
        <v>40</v>
      </c>
      <c r="M11" s="862"/>
    </row>
    <row r="12" spans="2:13" x14ac:dyDescent="0.25">
      <c r="B12" s="857"/>
      <c r="C12" s="1539">
        <v>0.35</v>
      </c>
      <c r="D12" s="1540"/>
      <c r="E12" s="848"/>
      <c r="F12" s="848"/>
      <c r="G12" s="848"/>
      <c r="H12" s="848"/>
      <c r="I12" s="849"/>
      <c r="J12" s="849"/>
      <c r="K12" s="1545"/>
      <c r="L12" s="1551">
        <f t="shared" si="0"/>
        <v>0</v>
      </c>
      <c r="M12" s="862"/>
    </row>
    <row r="13" spans="2:13" x14ac:dyDescent="0.25">
      <c r="B13" s="857"/>
      <c r="C13" s="1539">
        <v>0.4</v>
      </c>
      <c r="D13" s="1540"/>
      <c r="E13" s="848"/>
      <c r="F13" s="848"/>
      <c r="G13" s="848"/>
      <c r="H13" s="848"/>
      <c r="I13" s="849"/>
      <c r="J13" s="849"/>
      <c r="K13" s="1545"/>
      <c r="L13" s="1551">
        <f t="shared" si="0"/>
        <v>0</v>
      </c>
      <c r="M13" s="862"/>
    </row>
    <row r="14" spans="2:13" x14ac:dyDescent="0.25">
      <c r="B14" s="857"/>
      <c r="C14" s="1539">
        <v>0.45</v>
      </c>
      <c r="D14" s="1540"/>
      <c r="E14" s="848"/>
      <c r="F14" s="848"/>
      <c r="G14" s="848"/>
      <c r="H14" s="848"/>
      <c r="I14" s="849"/>
      <c r="J14" s="849"/>
      <c r="K14" s="1545"/>
      <c r="L14" s="1551">
        <f t="shared" si="0"/>
        <v>0</v>
      </c>
      <c r="M14" s="862"/>
    </row>
    <row r="15" spans="2:13" x14ac:dyDescent="0.25">
      <c r="B15" s="857"/>
      <c r="C15" s="1539">
        <v>0.5</v>
      </c>
      <c r="D15" s="1540"/>
      <c r="E15" s="848"/>
      <c r="F15" s="848">
        <v>2</v>
      </c>
      <c r="G15" s="848">
        <v>11</v>
      </c>
      <c r="H15" s="848"/>
      <c r="I15" s="849"/>
      <c r="J15" s="849"/>
      <c r="K15" s="1545"/>
      <c r="L15" s="1551">
        <f t="shared" si="0"/>
        <v>13</v>
      </c>
      <c r="M15" s="862"/>
    </row>
    <row r="16" spans="2:13" x14ac:dyDescent="0.25">
      <c r="B16" s="857"/>
      <c r="C16" s="1539">
        <v>0.55000000000000004</v>
      </c>
      <c r="D16" s="1540"/>
      <c r="E16" s="848"/>
      <c r="F16" s="848"/>
      <c r="G16" s="848"/>
      <c r="H16" s="848"/>
      <c r="I16" s="849"/>
      <c r="J16" s="849"/>
      <c r="K16" s="1545"/>
      <c r="L16" s="1551">
        <f t="shared" si="0"/>
        <v>0</v>
      </c>
      <c r="M16" s="862"/>
    </row>
    <row r="17" spans="2:13" x14ac:dyDescent="0.25">
      <c r="B17" s="857"/>
      <c r="C17" s="1539">
        <v>0.6</v>
      </c>
      <c r="D17" s="1540"/>
      <c r="E17" s="848"/>
      <c r="F17" s="848"/>
      <c r="G17" s="848"/>
      <c r="H17" s="848"/>
      <c r="I17" s="849"/>
      <c r="J17" s="849"/>
      <c r="K17" s="1545"/>
      <c r="L17" s="1551">
        <f t="shared" si="0"/>
        <v>0</v>
      </c>
      <c r="M17" s="862"/>
    </row>
    <row r="18" spans="2:13" x14ac:dyDescent="0.25">
      <c r="B18" s="857"/>
      <c r="C18" s="1539">
        <v>0.65</v>
      </c>
      <c r="D18" s="1541"/>
      <c r="E18" s="1542"/>
      <c r="F18" s="1542"/>
      <c r="G18" s="1542"/>
      <c r="H18" s="1542"/>
      <c r="I18" s="1542"/>
      <c r="J18" s="1542"/>
      <c r="K18" s="1546"/>
      <c r="L18" s="1551">
        <f t="shared" si="0"/>
        <v>0</v>
      </c>
      <c r="M18" s="862"/>
    </row>
    <row r="19" spans="2:13" x14ac:dyDescent="0.25">
      <c r="B19" s="857"/>
      <c r="C19" s="1539">
        <v>0.8</v>
      </c>
      <c r="D19" s="1540"/>
      <c r="E19" s="848"/>
      <c r="F19" s="848"/>
      <c r="G19" s="848"/>
      <c r="H19" s="848"/>
      <c r="I19" s="849"/>
      <c r="J19" s="849"/>
      <c r="K19" s="1545"/>
      <c r="L19" s="1551">
        <f t="shared" si="0"/>
        <v>0</v>
      </c>
      <c r="M19" s="862"/>
    </row>
    <row r="20" spans="2:13" ht="25.5" x14ac:dyDescent="0.25">
      <c r="B20" s="857"/>
      <c r="C20" s="864" t="s">
        <v>46</v>
      </c>
      <c r="D20" s="865">
        <f t="shared" ref="D20:L20" si="1">SUM(D10:D19)</f>
        <v>0</v>
      </c>
      <c r="E20" s="866">
        <f t="shared" si="1"/>
        <v>0</v>
      </c>
      <c r="F20" s="866">
        <f t="shared" si="1"/>
        <v>12</v>
      </c>
      <c r="G20" s="866">
        <f t="shared" si="1"/>
        <v>21</v>
      </c>
      <c r="H20" s="866">
        <f t="shared" si="1"/>
        <v>12</v>
      </c>
      <c r="I20" s="867">
        <f t="shared" si="1"/>
        <v>8</v>
      </c>
      <c r="J20" s="867">
        <f t="shared" si="1"/>
        <v>0</v>
      </c>
      <c r="K20" s="1547">
        <f t="shared" si="1"/>
        <v>0</v>
      </c>
      <c r="L20" s="868">
        <f t="shared" si="1"/>
        <v>53</v>
      </c>
      <c r="M20" s="862"/>
    </row>
    <row r="21" spans="2:13" x14ac:dyDescent="0.25">
      <c r="B21" s="857"/>
      <c r="C21" s="869" t="s">
        <v>47</v>
      </c>
      <c r="D21" s="845"/>
      <c r="E21" s="846"/>
      <c r="F21" s="846"/>
      <c r="G21" s="846"/>
      <c r="H21" s="846"/>
      <c r="I21" s="847"/>
      <c r="J21" s="847"/>
      <c r="K21" s="1544"/>
      <c r="L21" s="1552">
        <f>SUM(D21:K21)</f>
        <v>0</v>
      </c>
      <c r="M21" s="862"/>
    </row>
    <row r="22" spans="2:13" ht="15.75" thickBot="1" x14ac:dyDescent="0.3">
      <c r="B22" s="857"/>
      <c r="C22" s="870" t="s">
        <v>48</v>
      </c>
      <c r="D22" s="850"/>
      <c r="E22" s="851"/>
      <c r="F22" s="851"/>
      <c r="G22" s="851"/>
      <c r="H22" s="851"/>
      <c r="I22" s="852"/>
      <c r="J22" s="852"/>
      <c r="K22" s="1548"/>
      <c r="L22" s="1553">
        <f>SUM(D22:K22)</f>
        <v>0</v>
      </c>
      <c r="M22" s="862"/>
    </row>
    <row r="23" spans="2:13" ht="16.5" thickTop="1" thickBot="1" x14ac:dyDescent="0.3">
      <c r="B23" s="857"/>
      <c r="C23" s="871" t="s">
        <v>49</v>
      </c>
      <c r="D23" s="872">
        <f>D20+D21+D22</f>
        <v>0</v>
      </c>
      <c r="E23" s="873">
        <f t="shared" ref="E23:K23" si="2">E20+E21+E22</f>
        <v>0</v>
      </c>
      <c r="F23" s="873">
        <f t="shared" si="2"/>
        <v>12</v>
      </c>
      <c r="G23" s="873">
        <f t="shared" si="2"/>
        <v>21</v>
      </c>
      <c r="H23" s="873">
        <f t="shared" si="2"/>
        <v>12</v>
      </c>
      <c r="I23" s="874">
        <f t="shared" si="2"/>
        <v>8</v>
      </c>
      <c r="J23" s="874">
        <f t="shared" si="2"/>
        <v>0</v>
      </c>
      <c r="K23" s="874">
        <f t="shared" si="2"/>
        <v>0</v>
      </c>
      <c r="L23" s="1555">
        <f>SUM(L20:L22)</f>
        <v>53</v>
      </c>
      <c r="M23" s="862"/>
    </row>
    <row r="24" spans="2:13" ht="7.5" customHeight="1" thickTop="1" thickBot="1" x14ac:dyDescent="0.3">
      <c r="B24" s="857"/>
      <c r="C24" s="875"/>
      <c r="D24" s="876"/>
      <c r="E24" s="876"/>
      <c r="F24" s="876"/>
      <c r="G24" s="876"/>
      <c r="H24" s="876"/>
      <c r="I24" s="877"/>
      <c r="J24" s="877"/>
      <c r="K24" s="877"/>
      <c r="L24" s="1554"/>
      <c r="M24" s="862"/>
    </row>
    <row r="25" spans="2:13" ht="25.5" x14ac:dyDescent="0.25">
      <c r="B25" s="857"/>
      <c r="C25" s="878" t="s">
        <v>50</v>
      </c>
      <c r="D25" s="853"/>
      <c r="E25" s="854"/>
      <c r="F25" s="854">
        <v>2</v>
      </c>
      <c r="G25" s="854">
        <v>3</v>
      </c>
      <c r="H25" s="854">
        <v>2</v>
      </c>
      <c r="I25" s="854">
        <v>2</v>
      </c>
      <c r="J25" s="854"/>
      <c r="K25" s="854"/>
      <c r="L25" s="879">
        <f>SUM(D25:K25)</f>
        <v>9</v>
      </c>
      <c r="M25" s="862"/>
    </row>
    <row r="26" spans="2:13" ht="15.75" thickBot="1" x14ac:dyDescent="0.3">
      <c r="B26" s="857"/>
      <c r="C26" s="880" t="s">
        <v>642</v>
      </c>
      <c r="D26" s="855"/>
      <c r="E26" s="856"/>
      <c r="F26" s="856">
        <v>407</v>
      </c>
      <c r="G26" s="856">
        <v>539</v>
      </c>
      <c r="H26" s="856">
        <v>817</v>
      </c>
      <c r="I26" s="856">
        <v>1085</v>
      </c>
      <c r="J26" s="856"/>
      <c r="K26" s="856"/>
      <c r="L26" s="881"/>
      <c r="M26" s="862"/>
    </row>
    <row r="27" spans="2:13" ht="9" customHeight="1" thickBot="1" x14ac:dyDescent="0.3">
      <c r="B27" s="882"/>
      <c r="C27" s="883"/>
      <c r="D27" s="883"/>
      <c r="E27" s="883"/>
      <c r="F27" s="883"/>
      <c r="G27" s="883"/>
      <c r="H27" s="883"/>
      <c r="I27" s="883"/>
      <c r="J27" s="883"/>
      <c r="K27" s="883"/>
      <c r="L27" s="883"/>
      <c r="M27" s="884"/>
    </row>
  </sheetData>
  <sheetProtection password="9F6B" sheet="1" objects="1" scenarios="1" formatCells="0" formatColumns="0" formatRows="0"/>
  <mergeCells count="3">
    <mergeCell ref="C3:L3"/>
    <mergeCell ref="D5:H5"/>
    <mergeCell ref="D7:H7"/>
  </mergeCells>
  <pageMargins left="0.7" right="0.7" top="0.75" bottom="0.75" header="0.3" footer="0.3"/>
  <pageSetup orientation="landscape" r:id="rId1"/>
  <headerFooter>
    <oddFooter>&amp;LForm 1B(b)
Unit Configuration and Affordability&amp;CCFA Forms&amp;REdition: 2015
Version: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showGridLines="0" zoomScaleNormal="100" workbookViewId="0">
      <selection activeCell="J12" sqref="J12"/>
    </sheetView>
  </sheetViews>
  <sheetFormatPr defaultRowHeight="15" x14ac:dyDescent="0.25"/>
  <cols>
    <col min="1" max="2" width="1.7109375" style="838" customWidth="1"/>
    <col min="3" max="3" width="14.28515625" style="838" customWidth="1"/>
    <col min="4" max="4" width="28.140625" style="838" bestFit="1" customWidth="1"/>
    <col min="5" max="5" width="26.140625" style="838" bestFit="1" customWidth="1"/>
    <col min="6" max="6" width="14.7109375" style="838" bestFit="1" customWidth="1"/>
    <col min="7" max="7" width="11.5703125" style="838" customWidth="1"/>
    <col min="8" max="8" width="9.28515625" style="838" customWidth="1"/>
    <col min="9" max="9" width="8.7109375" style="838" customWidth="1"/>
    <col min="10" max="11" width="9.140625" style="838"/>
    <col min="12" max="13" width="10.140625" style="838" bestFit="1" customWidth="1"/>
    <col min="14" max="15" width="1.7109375" style="838" customWidth="1"/>
    <col min="16" max="16384" width="9.140625" style="838"/>
  </cols>
  <sheetData>
    <row r="1" spans="2:14" ht="9" customHeight="1" thickBot="1" x14ac:dyDescent="0.3"/>
    <row r="2" spans="2:14" ht="9" customHeight="1" x14ac:dyDescent="0.25">
      <c r="B2" s="891"/>
      <c r="C2" s="892"/>
      <c r="D2" s="892"/>
      <c r="E2" s="892"/>
      <c r="F2" s="892"/>
      <c r="G2" s="893"/>
      <c r="H2" s="892"/>
      <c r="I2" s="892"/>
      <c r="J2" s="892"/>
      <c r="K2" s="892"/>
      <c r="L2" s="892"/>
      <c r="M2" s="892"/>
      <c r="N2" s="894"/>
    </row>
    <row r="3" spans="2:14" ht="18.75" x14ac:dyDescent="0.3">
      <c r="B3" s="895"/>
      <c r="C3" s="2106" t="s">
        <v>1370</v>
      </c>
      <c r="D3" s="2106"/>
      <c r="E3" s="2106"/>
      <c r="F3" s="2106"/>
      <c r="G3" s="2106"/>
      <c r="H3" s="2106"/>
      <c r="I3" s="2106"/>
      <c r="J3" s="2106"/>
      <c r="K3" s="2106"/>
      <c r="L3" s="2106"/>
      <c r="M3" s="2106"/>
      <c r="N3" s="896"/>
    </row>
    <row r="4" spans="2:14" x14ac:dyDescent="0.25">
      <c r="B4" s="895"/>
      <c r="C4" s="897"/>
      <c r="D4" s="897"/>
      <c r="E4" s="897"/>
      <c r="F4" s="897"/>
      <c r="G4" s="247"/>
      <c r="H4" s="897"/>
      <c r="I4" s="897"/>
      <c r="J4" s="897"/>
      <c r="K4" s="897"/>
      <c r="L4" s="897"/>
      <c r="M4" s="897"/>
      <c r="N4" s="896"/>
    </row>
    <row r="5" spans="2:14" x14ac:dyDescent="0.25">
      <c r="B5" s="895"/>
      <c r="C5" s="808" t="s">
        <v>1</v>
      </c>
      <c r="D5" s="2129" t="str">
        <f>IF('1A'!G5="","Enter Project Name on Form 1A",'1A'!G5)</f>
        <v>University District Apartments</v>
      </c>
      <c r="E5" s="2129"/>
      <c r="F5" s="2129"/>
      <c r="G5" s="898"/>
      <c r="H5" s="898"/>
      <c r="I5" s="898"/>
      <c r="J5" s="814"/>
      <c r="K5" s="897"/>
      <c r="L5" s="897"/>
      <c r="M5" s="897"/>
      <c r="N5" s="896"/>
    </row>
    <row r="6" spans="2:14" ht="3.75" customHeight="1" x14ac:dyDescent="0.25">
      <c r="B6" s="895"/>
      <c r="C6" s="897"/>
      <c r="D6" s="897"/>
      <c r="E6" s="897"/>
      <c r="F6" s="897"/>
      <c r="G6" s="247"/>
      <c r="H6" s="897"/>
      <c r="I6" s="897"/>
      <c r="J6" s="897"/>
      <c r="K6" s="897"/>
      <c r="L6" s="897"/>
      <c r="M6" s="897"/>
      <c r="N6" s="896"/>
    </row>
    <row r="7" spans="2:14" x14ac:dyDescent="0.25">
      <c r="B7" s="895"/>
      <c r="C7" s="808" t="s">
        <v>1397</v>
      </c>
      <c r="D7" s="2129" t="str">
        <f>IF('1A'!G29="","Enter Site Name on Form 1A",'1A'!G29)</f>
        <v>Project A-  4%</v>
      </c>
      <c r="E7" s="2129"/>
      <c r="F7" s="2129"/>
      <c r="G7" s="898"/>
      <c r="H7" s="898"/>
      <c r="I7" s="898"/>
      <c r="J7" s="814"/>
      <c r="K7" s="897"/>
      <c r="L7" s="897"/>
      <c r="M7" s="897"/>
      <c r="N7" s="896"/>
    </row>
    <row r="8" spans="2:14" ht="7.5" customHeight="1" thickBot="1" x14ac:dyDescent="0.3">
      <c r="B8" s="895"/>
      <c r="C8" s="897"/>
      <c r="D8" s="897"/>
      <c r="E8" s="897"/>
      <c r="F8" s="897"/>
      <c r="G8" s="247"/>
      <c r="H8" s="897"/>
      <c r="I8" s="897"/>
      <c r="J8" s="897"/>
      <c r="K8" s="897"/>
      <c r="L8" s="897"/>
      <c r="M8" s="897"/>
      <c r="N8" s="896"/>
    </row>
    <row r="9" spans="2:14" ht="60" x14ac:dyDescent="0.25">
      <c r="B9" s="899"/>
      <c r="C9" s="900" t="s">
        <v>643</v>
      </c>
      <c r="D9" s="1777" t="s">
        <v>1346</v>
      </c>
      <c r="E9" s="901" t="s">
        <v>51</v>
      </c>
      <c r="F9" s="902" t="s">
        <v>52</v>
      </c>
      <c r="G9" s="903" t="s">
        <v>54</v>
      </c>
      <c r="H9" s="902" t="s">
        <v>55</v>
      </c>
      <c r="I9" s="902" t="s">
        <v>56</v>
      </c>
      <c r="J9" s="904" t="s">
        <v>57</v>
      </c>
      <c r="K9" s="905" t="s">
        <v>49</v>
      </c>
      <c r="L9" s="903" t="s">
        <v>53</v>
      </c>
      <c r="M9" s="906" t="s">
        <v>58</v>
      </c>
      <c r="N9" s="907"/>
    </row>
    <row r="10" spans="2:14" x14ac:dyDescent="0.25">
      <c r="B10" s="895"/>
      <c r="C10" s="1770">
        <v>1</v>
      </c>
      <c r="D10" s="1779" t="s">
        <v>1429</v>
      </c>
      <c r="E10" s="885" t="s">
        <v>1437</v>
      </c>
      <c r="F10" s="1778" t="s">
        <v>29</v>
      </c>
      <c r="G10" s="1780" t="s">
        <v>1438</v>
      </c>
      <c r="H10" s="1780">
        <v>79</v>
      </c>
      <c r="I10" s="1780">
        <v>0</v>
      </c>
      <c r="J10" s="1781">
        <v>1</v>
      </c>
      <c r="K10" s="908">
        <f>SUM(H10:J10)</f>
        <v>80</v>
      </c>
      <c r="L10" s="886"/>
      <c r="M10" s="1831">
        <v>43101</v>
      </c>
      <c r="N10" s="896"/>
    </row>
    <row r="11" spans="2:14" x14ac:dyDescent="0.25">
      <c r="B11" s="895"/>
      <c r="C11" s="1771">
        <v>2</v>
      </c>
      <c r="D11" s="1782"/>
      <c r="E11" s="887"/>
      <c r="F11" s="888"/>
      <c r="G11" s="1542"/>
      <c r="H11" s="1542"/>
      <c r="I11" s="1542"/>
      <c r="J11" s="1546"/>
      <c r="K11" s="909">
        <f t="shared" ref="K11:K23" si="0">SUM(H11:J11)</f>
        <v>0</v>
      </c>
      <c r="L11" s="889"/>
      <c r="M11" s="1559"/>
      <c r="N11" s="896"/>
    </row>
    <row r="12" spans="2:14" x14ac:dyDescent="0.25">
      <c r="B12" s="895"/>
      <c r="C12" s="1771">
        <v>3</v>
      </c>
      <c r="D12" s="1782"/>
      <c r="E12" s="887"/>
      <c r="F12" s="888"/>
      <c r="G12" s="1542"/>
      <c r="H12" s="1542"/>
      <c r="I12" s="1542"/>
      <c r="J12" s="1546"/>
      <c r="K12" s="909">
        <f t="shared" si="0"/>
        <v>0</v>
      </c>
      <c r="L12" s="1786"/>
      <c r="M12" s="1785"/>
      <c r="N12" s="896"/>
    </row>
    <row r="13" spans="2:14" x14ac:dyDescent="0.25">
      <c r="B13" s="895"/>
      <c r="C13" s="1771">
        <v>4</v>
      </c>
      <c r="D13" s="1782"/>
      <c r="E13" s="887"/>
      <c r="F13" s="888"/>
      <c r="G13" s="1542"/>
      <c r="H13" s="1542"/>
      <c r="I13" s="1542"/>
      <c r="J13" s="1546"/>
      <c r="K13" s="909">
        <f t="shared" si="0"/>
        <v>0</v>
      </c>
      <c r="L13" s="889"/>
      <c r="M13" s="1559"/>
      <c r="N13" s="896"/>
    </row>
    <row r="14" spans="2:14" x14ac:dyDescent="0.25">
      <c r="B14" s="895"/>
      <c r="C14" s="1771">
        <v>5</v>
      </c>
      <c r="D14" s="1782"/>
      <c r="E14" s="887"/>
      <c r="F14" s="888"/>
      <c r="G14" s="1542"/>
      <c r="H14" s="1542"/>
      <c r="I14" s="1542"/>
      <c r="J14" s="1546"/>
      <c r="K14" s="909">
        <f t="shared" si="0"/>
        <v>0</v>
      </c>
      <c r="L14" s="889"/>
      <c r="M14" s="1559"/>
      <c r="N14" s="896"/>
    </row>
    <row r="15" spans="2:14" x14ac:dyDescent="0.25">
      <c r="B15" s="895"/>
      <c r="C15" s="1771">
        <v>6</v>
      </c>
      <c r="D15" s="1782"/>
      <c r="E15" s="887"/>
      <c r="F15" s="888"/>
      <c r="G15" s="1542"/>
      <c r="H15" s="1542"/>
      <c r="I15" s="1542"/>
      <c r="J15" s="1546"/>
      <c r="K15" s="910">
        <f t="shared" si="0"/>
        <v>0</v>
      </c>
      <c r="L15" s="889"/>
      <c r="M15" s="1559"/>
      <c r="N15" s="896"/>
    </row>
    <row r="16" spans="2:14" x14ac:dyDescent="0.25">
      <c r="B16" s="895"/>
      <c r="C16" s="1772">
        <v>7</v>
      </c>
      <c r="D16" s="1782"/>
      <c r="E16" s="887"/>
      <c r="F16" s="890"/>
      <c r="G16" s="849"/>
      <c r="H16" s="849"/>
      <c r="I16" s="849"/>
      <c r="J16" s="1545"/>
      <c r="K16" s="910">
        <f t="shared" si="0"/>
        <v>0</v>
      </c>
      <c r="L16" s="889"/>
      <c r="M16" s="1559"/>
      <c r="N16" s="896"/>
    </row>
    <row r="17" spans="2:14" x14ac:dyDescent="0.25">
      <c r="B17" s="895"/>
      <c r="C17" s="1771">
        <v>8</v>
      </c>
      <c r="D17" s="1782"/>
      <c r="E17" s="887"/>
      <c r="F17" s="888"/>
      <c r="G17" s="1542"/>
      <c r="H17" s="1542"/>
      <c r="I17" s="1542"/>
      <c r="J17" s="1546"/>
      <c r="K17" s="909">
        <f t="shared" si="0"/>
        <v>0</v>
      </c>
      <c r="L17" s="889"/>
      <c r="M17" s="1559"/>
      <c r="N17" s="896"/>
    </row>
    <row r="18" spans="2:14" x14ac:dyDescent="0.25">
      <c r="B18" s="895"/>
      <c r="C18" s="1771">
        <v>9</v>
      </c>
      <c r="D18" s="1782"/>
      <c r="E18" s="887"/>
      <c r="F18" s="888"/>
      <c r="G18" s="1542"/>
      <c r="H18" s="1542"/>
      <c r="I18" s="1542"/>
      <c r="J18" s="1546"/>
      <c r="K18" s="909">
        <f t="shared" si="0"/>
        <v>0</v>
      </c>
      <c r="L18" s="889"/>
      <c r="M18" s="1559"/>
      <c r="N18" s="896"/>
    </row>
    <row r="19" spans="2:14" x14ac:dyDescent="0.25">
      <c r="B19" s="895"/>
      <c r="C19" s="1771">
        <v>10</v>
      </c>
      <c r="D19" s="1782"/>
      <c r="E19" s="887"/>
      <c r="F19" s="888"/>
      <c r="G19" s="1542"/>
      <c r="H19" s="1542"/>
      <c r="I19" s="1542"/>
      <c r="J19" s="1546"/>
      <c r="K19" s="909">
        <f t="shared" si="0"/>
        <v>0</v>
      </c>
      <c r="L19" s="889"/>
      <c r="M19" s="1559"/>
      <c r="N19" s="896"/>
    </row>
    <row r="20" spans="2:14" x14ac:dyDescent="0.25">
      <c r="B20" s="895"/>
      <c r="C20" s="1771">
        <v>11</v>
      </c>
      <c r="D20" s="1782"/>
      <c r="E20" s="887"/>
      <c r="F20" s="888"/>
      <c r="G20" s="1542"/>
      <c r="H20" s="1542"/>
      <c r="I20" s="1542"/>
      <c r="J20" s="1546"/>
      <c r="K20" s="909">
        <f t="shared" si="0"/>
        <v>0</v>
      </c>
      <c r="L20" s="889"/>
      <c r="M20" s="1559"/>
      <c r="N20" s="896"/>
    </row>
    <row r="21" spans="2:14" x14ac:dyDescent="0.25">
      <c r="B21" s="895"/>
      <c r="C21" s="1771">
        <v>12</v>
      </c>
      <c r="D21" s="1782"/>
      <c r="E21" s="887"/>
      <c r="F21" s="888"/>
      <c r="G21" s="1542"/>
      <c r="H21" s="1542"/>
      <c r="I21" s="1542"/>
      <c r="J21" s="1546"/>
      <c r="K21" s="909">
        <f t="shared" si="0"/>
        <v>0</v>
      </c>
      <c r="L21" s="889"/>
      <c r="M21" s="1559"/>
      <c r="N21" s="896"/>
    </row>
    <row r="22" spans="2:14" x14ac:dyDescent="0.25">
      <c r="B22" s="895"/>
      <c r="C22" s="1772">
        <v>13</v>
      </c>
      <c r="D22" s="1782"/>
      <c r="E22" s="887"/>
      <c r="F22" s="890"/>
      <c r="G22" s="849"/>
      <c r="H22" s="849"/>
      <c r="I22" s="849"/>
      <c r="J22" s="1545"/>
      <c r="K22" s="910">
        <f t="shared" si="0"/>
        <v>0</v>
      </c>
      <c r="L22" s="889"/>
      <c r="M22" s="1559"/>
      <c r="N22" s="896"/>
    </row>
    <row r="23" spans="2:14" ht="15.75" thickBot="1" x14ac:dyDescent="0.3">
      <c r="B23" s="895"/>
      <c r="C23" s="1773">
        <v>14</v>
      </c>
      <c r="D23" s="1791"/>
      <c r="E23" s="1556"/>
      <c r="F23" s="1557"/>
      <c r="G23" s="852"/>
      <c r="H23" s="1783"/>
      <c r="I23" s="1783"/>
      <c r="J23" s="1784"/>
      <c r="K23" s="911">
        <f t="shared" si="0"/>
        <v>0</v>
      </c>
      <c r="L23" s="1558"/>
      <c r="M23" s="1787"/>
      <c r="N23" s="896"/>
    </row>
    <row r="24" spans="2:14" ht="16.5" thickTop="1" thickBot="1" x14ac:dyDescent="0.3">
      <c r="B24" s="895"/>
      <c r="C24" s="1792"/>
      <c r="D24" s="1793"/>
      <c r="E24" s="1793"/>
      <c r="F24" s="1794"/>
      <c r="G24" s="1790" t="s">
        <v>45</v>
      </c>
      <c r="H24" s="912">
        <f>SUM(H10:H23)</f>
        <v>79</v>
      </c>
      <c r="I24" s="913">
        <f>SUM(I10:I23)</f>
        <v>0</v>
      </c>
      <c r="J24" s="914">
        <f>SUM(J10:J23)</f>
        <v>1</v>
      </c>
      <c r="K24" s="915">
        <f>SUM(K10:K23)</f>
        <v>80</v>
      </c>
      <c r="L24" s="1788"/>
      <c r="M24" s="1789"/>
      <c r="N24" s="896"/>
    </row>
    <row r="25" spans="2:14" ht="9" customHeight="1" thickBot="1" x14ac:dyDescent="0.3">
      <c r="B25" s="1774"/>
      <c r="C25" s="1775"/>
      <c r="D25" s="1775"/>
      <c r="E25" s="1775"/>
      <c r="F25" s="1775"/>
      <c r="G25" s="1775"/>
      <c r="H25" s="1775"/>
      <c r="I25" s="1775"/>
      <c r="J25" s="1775"/>
      <c r="K25" s="1775"/>
      <c r="L25" s="1775"/>
      <c r="M25" s="1775"/>
      <c r="N25" s="1776"/>
    </row>
  </sheetData>
  <sheetProtection password="9F6B" sheet="1" objects="1" scenarios="1" formatCells="0" formatColumns="0" formatRows="0"/>
  <mergeCells count="3">
    <mergeCell ref="D5:F5"/>
    <mergeCell ref="C3:M3"/>
    <mergeCell ref="D7:F7"/>
  </mergeCells>
  <dataValidations count="3">
    <dataValidation type="list" allowBlank="1" showInputMessage="1" showErrorMessage="1" sqref="E10:E23">
      <formula1>"Single-Family Detached, Townhouse/Duplex, Walk-Up (≤3 Floors no elevator), Low-Rise (2-3 floors w elevator), Mid-Rise (4-6 floors w elevator), High Rise (7+ floors), Mobile Home Pad, Shelter/Open-floor"</formula1>
    </dataValidation>
    <dataValidation type="list" allowBlank="1" showInputMessage="1" showErrorMessage="1" sqref="F10:F23">
      <formula1>"New Construction,Rehab,Acquisition"</formula1>
    </dataValidation>
    <dataValidation type="list" allowBlank="1" showInputMessage="1" showErrorMessage="1" sqref="G10:G23">
      <formula1>"Yes,No"</formula1>
    </dataValidation>
  </dataValidations>
  <pageMargins left="0.7" right="0.7" top="0.75" bottom="0.75" header="0.3" footer="0.3"/>
  <pageSetup scale="79" orientation="landscape" r:id="rId1"/>
  <headerFooter>
    <oddFooter>&amp;LForm 2A(a)
Building Information&amp;CCFA Forms&amp;REdition: 2015
Version: 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N25"/>
  <sheetViews>
    <sheetView showGridLines="0" zoomScaleNormal="100" workbookViewId="0">
      <selection activeCell="M16" sqref="M16"/>
    </sheetView>
  </sheetViews>
  <sheetFormatPr defaultRowHeight="15" x14ac:dyDescent="0.25"/>
  <cols>
    <col min="1" max="2" width="1.7109375" style="838" customWidth="1"/>
    <col min="3" max="3" width="14.28515625" style="838" customWidth="1"/>
    <col min="4" max="4" width="28.140625" style="838" bestFit="1" customWidth="1"/>
    <col min="5" max="5" width="26.140625" style="838" bestFit="1" customWidth="1"/>
    <col min="6" max="6" width="14.7109375" style="838" bestFit="1" customWidth="1"/>
    <col min="7" max="7" width="11.5703125" style="838" customWidth="1"/>
    <col min="8" max="8" width="9.28515625" style="838" customWidth="1"/>
    <col min="9" max="9" width="8.7109375" style="838" customWidth="1"/>
    <col min="10" max="11" width="9.140625" style="838"/>
    <col min="12" max="13" width="10.140625" style="838" bestFit="1" customWidth="1"/>
    <col min="14" max="15" width="1.7109375" style="838" customWidth="1"/>
    <col min="16" max="16384" width="9.140625" style="838"/>
  </cols>
  <sheetData>
    <row r="1" spans="2:14" ht="9" customHeight="1" thickBot="1" x14ac:dyDescent="0.3"/>
    <row r="2" spans="2:14" ht="9" customHeight="1" x14ac:dyDescent="0.25">
      <c r="B2" s="891"/>
      <c r="C2" s="892"/>
      <c r="D2" s="892"/>
      <c r="E2" s="892"/>
      <c r="F2" s="892"/>
      <c r="G2" s="893"/>
      <c r="H2" s="892"/>
      <c r="I2" s="892"/>
      <c r="J2" s="892"/>
      <c r="K2" s="892"/>
      <c r="L2" s="892"/>
      <c r="M2" s="892"/>
      <c r="N2" s="894"/>
    </row>
    <row r="3" spans="2:14" ht="18.75" x14ac:dyDescent="0.3">
      <c r="B3" s="895"/>
      <c r="C3" s="2130" t="s">
        <v>1369</v>
      </c>
      <c r="D3" s="2130"/>
      <c r="E3" s="2130"/>
      <c r="F3" s="2130"/>
      <c r="G3" s="2130"/>
      <c r="H3" s="2130"/>
      <c r="I3" s="2130"/>
      <c r="J3" s="2130"/>
      <c r="K3" s="2130"/>
      <c r="L3" s="2130"/>
      <c r="M3" s="2130"/>
      <c r="N3" s="896"/>
    </row>
    <row r="4" spans="2:14" x14ac:dyDescent="0.25">
      <c r="B4" s="895"/>
      <c r="C4" s="897"/>
      <c r="D4" s="897"/>
      <c r="E4" s="897"/>
      <c r="F4" s="897"/>
      <c r="G4" s="247"/>
      <c r="H4" s="897"/>
      <c r="I4" s="897"/>
      <c r="J4" s="897"/>
      <c r="K4" s="897"/>
      <c r="L4" s="897"/>
      <c r="M4" s="897"/>
      <c r="N4" s="896"/>
    </row>
    <row r="5" spans="2:14" x14ac:dyDescent="0.25">
      <c r="B5" s="895"/>
      <c r="C5" s="808" t="s">
        <v>1</v>
      </c>
      <c r="D5" s="2129" t="str">
        <f>IF('1A'!G5="","Enter Project Name on Form 1A",'1A'!G5)</f>
        <v>University District Apartments</v>
      </c>
      <c r="E5" s="2129"/>
      <c r="F5" s="2129"/>
      <c r="G5" s="898"/>
      <c r="H5" s="898"/>
      <c r="I5" s="898"/>
      <c r="J5" s="814"/>
      <c r="K5" s="897"/>
      <c r="L5" s="897"/>
      <c r="M5" s="897"/>
      <c r="N5" s="896"/>
    </row>
    <row r="6" spans="2:14" ht="3.75" customHeight="1" x14ac:dyDescent="0.25">
      <c r="B6" s="895"/>
      <c r="C6" s="897"/>
      <c r="D6" s="897"/>
      <c r="E6" s="897"/>
      <c r="F6" s="897"/>
      <c r="G6" s="247"/>
      <c r="H6" s="897"/>
      <c r="I6" s="897"/>
      <c r="J6" s="897"/>
      <c r="K6" s="897"/>
      <c r="L6" s="897"/>
      <c r="M6" s="897"/>
      <c r="N6" s="896"/>
    </row>
    <row r="7" spans="2:14" x14ac:dyDescent="0.25">
      <c r="B7" s="895"/>
      <c r="C7" s="808" t="s">
        <v>1397</v>
      </c>
      <c r="D7" s="2129" t="str">
        <f>IF('1A'!G44="","Enter Site Name on Form 1A",'1A'!G44)</f>
        <v>Project B - 9%</v>
      </c>
      <c r="E7" s="2129"/>
      <c r="F7" s="2129"/>
      <c r="G7" s="898"/>
      <c r="H7" s="898"/>
      <c r="I7" s="898"/>
      <c r="J7" s="814"/>
      <c r="K7" s="897"/>
      <c r="L7" s="897"/>
      <c r="M7" s="897"/>
      <c r="N7" s="896"/>
    </row>
    <row r="8" spans="2:14" ht="7.5" customHeight="1" thickBot="1" x14ac:dyDescent="0.3">
      <c r="B8" s="895"/>
      <c r="C8" s="897"/>
      <c r="D8" s="897"/>
      <c r="E8" s="897"/>
      <c r="F8" s="897"/>
      <c r="G8" s="247"/>
      <c r="H8" s="897"/>
      <c r="I8" s="897"/>
      <c r="J8" s="897"/>
      <c r="K8" s="897"/>
      <c r="L8" s="897"/>
      <c r="M8" s="897"/>
      <c r="N8" s="896"/>
    </row>
    <row r="9" spans="2:14" ht="60" x14ac:dyDescent="0.25">
      <c r="B9" s="899"/>
      <c r="C9" s="900" t="s">
        <v>643</v>
      </c>
      <c r="D9" s="1777" t="s">
        <v>1346</v>
      </c>
      <c r="E9" s="901" t="s">
        <v>51</v>
      </c>
      <c r="F9" s="902" t="s">
        <v>52</v>
      </c>
      <c r="G9" s="903" t="s">
        <v>54</v>
      </c>
      <c r="H9" s="902" t="s">
        <v>55</v>
      </c>
      <c r="I9" s="902" t="s">
        <v>56</v>
      </c>
      <c r="J9" s="904" t="s">
        <v>57</v>
      </c>
      <c r="K9" s="905" t="s">
        <v>49</v>
      </c>
      <c r="L9" s="903" t="s">
        <v>53</v>
      </c>
      <c r="M9" s="906" t="s">
        <v>58</v>
      </c>
      <c r="N9" s="907"/>
    </row>
    <row r="10" spans="2:14" x14ac:dyDescent="0.25">
      <c r="B10" s="895"/>
      <c r="C10" s="1770">
        <v>1</v>
      </c>
      <c r="D10" s="1779" t="s">
        <v>1429</v>
      </c>
      <c r="E10" s="885" t="s">
        <v>1437</v>
      </c>
      <c r="F10" s="1778" t="s">
        <v>29</v>
      </c>
      <c r="G10" s="1780" t="s">
        <v>1408</v>
      </c>
      <c r="H10" s="1780">
        <v>53</v>
      </c>
      <c r="I10" s="1780">
        <v>0</v>
      </c>
      <c r="J10" s="1781">
        <v>0</v>
      </c>
      <c r="K10" s="908">
        <f>SUM(H10:J10)</f>
        <v>53</v>
      </c>
      <c r="L10" s="886"/>
      <c r="M10" s="1831">
        <v>43101</v>
      </c>
      <c r="N10" s="896"/>
    </row>
    <row r="11" spans="2:14" x14ac:dyDescent="0.25">
      <c r="B11" s="895"/>
      <c r="C11" s="1771">
        <v>2</v>
      </c>
      <c r="D11" s="1782"/>
      <c r="E11" s="887"/>
      <c r="F11" s="888"/>
      <c r="G11" s="1542"/>
      <c r="H11" s="1542"/>
      <c r="I11" s="1542"/>
      <c r="J11" s="1546"/>
      <c r="K11" s="909">
        <f t="shared" ref="K11:K23" si="0">SUM(H11:J11)</f>
        <v>0</v>
      </c>
      <c r="L11" s="889"/>
      <c r="M11" s="1559"/>
      <c r="N11" s="896"/>
    </row>
    <row r="12" spans="2:14" x14ac:dyDescent="0.25">
      <c r="B12" s="895"/>
      <c r="C12" s="1771">
        <v>3</v>
      </c>
      <c r="D12" s="1782"/>
      <c r="E12" s="887"/>
      <c r="F12" s="888"/>
      <c r="G12" s="1542"/>
      <c r="H12" s="1542"/>
      <c r="I12" s="1542"/>
      <c r="J12" s="1546"/>
      <c r="K12" s="909">
        <f t="shared" si="0"/>
        <v>0</v>
      </c>
      <c r="L12" s="1786"/>
      <c r="M12" s="1785"/>
      <c r="N12" s="896"/>
    </row>
    <row r="13" spans="2:14" x14ac:dyDescent="0.25">
      <c r="B13" s="895"/>
      <c r="C13" s="1771">
        <v>4</v>
      </c>
      <c r="D13" s="1782"/>
      <c r="E13" s="887"/>
      <c r="F13" s="888"/>
      <c r="G13" s="1542"/>
      <c r="H13" s="1542"/>
      <c r="I13" s="1542"/>
      <c r="J13" s="1546"/>
      <c r="K13" s="909">
        <f t="shared" si="0"/>
        <v>0</v>
      </c>
      <c r="L13" s="889"/>
      <c r="M13" s="1559"/>
      <c r="N13" s="896"/>
    </row>
    <row r="14" spans="2:14" x14ac:dyDescent="0.25">
      <c r="B14" s="895"/>
      <c r="C14" s="1771">
        <v>5</v>
      </c>
      <c r="D14" s="1782"/>
      <c r="E14" s="887"/>
      <c r="F14" s="888"/>
      <c r="G14" s="1542"/>
      <c r="H14" s="1542"/>
      <c r="I14" s="1542"/>
      <c r="J14" s="1546"/>
      <c r="K14" s="909">
        <f t="shared" si="0"/>
        <v>0</v>
      </c>
      <c r="L14" s="889"/>
      <c r="M14" s="1559"/>
      <c r="N14" s="896"/>
    </row>
    <row r="15" spans="2:14" x14ac:dyDescent="0.25">
      <c r="B15" s="895"/>
      <c r="C15" s="1771">
        <v>6</v>
      </c>
      <c r="D15" s="1782"/>
      <c r="E15" s="887"/>
      <c r="F15" s="888"/>
      <c r="G15" s="1542"/>
      <c r="H15" s="1542"/>
      <c r="I15" s="1542"/>
      <c r="J15" s="1546"/>
      <c r="K15" s="910">
        <f t="shared" si="0"/>
        <v>0</v>
      </c>
      <c r="L15" s="889"/>
      <c r="M15" s="1559"/>
      <c r="N15" s="896"/>
    </row>
    <row r="16" spans="2:14" x14ac:dyDescent="0.25">
      <c r="B16" s="895"/>
      <c r="C16" s="1772">
        <v>7</v>
      </c>
      <c r="D16" s="1782"/>
      <c r="E16" s="887"/>
      <c r="F16" s="890"/>
      <c r="G16" s="849"/>
      <c r="H16" s="849"/>
      <c r="I16" s="849"/>
      <c r="J16" s="1545"/>
      <c r="K16" s="910">
        <f t="shared" si="0"/>
        <v>0</v>
      </c>
      <c r="L16" s="889"/>
      <c r="M16" s="1559"/>
      <c r="N16" s="896"/>
    </row>
    <row r="17" spans="2:14" x14ac:dyDescent="0.25">
      <c r="B17" s="895"/>
      <c r="C17" s="1771">
        <v>8</v>
      </c>
      <c r="D17" s="1782"/>
      <c r="E17" s="887"/>
      <c r="F17" s="888"/>
      <c r="G17" s="1542"/>
      <c r="H17" s="1542"/>
      <c r="I17" s="1542"/>
      <c r="J17" s="1546"/>
      <c r="K17" s="909">
        <f t="shared" si="0"/>
        <v>0</v>
      </c>
      <c r="L17" s="889"/>
      <c r="M17" s="1559"/>
      <c r="N17" s="896"/>
    </row>
    <row r="18" spans="2:14" x14ac:dyDescent="0.25">
      <c r="B18" s="895"/>
      <c r="C18" s="1771">
        <v>9</v>
      </c>
      <c r="D18" s="1782"/>
      <c r="E18" s="887"/>
      <c r="F18" s="888"/>
      <c r="G18" s="1542"/>
      <c r="H18" s="1542"/>
      <c r="I18" s="1542"/>
      <c r="J18" s="1546"/>
      <c r="K18" s="909">
        <f t="shared" si="0"/>
        <v>0</v>
      </c>
      <c r="L18" s="889"/>
      <c r="M18" s="1559"/>
      <c r="N18" s="896"/>
    </row>
    <row r="19" spans="2:14" x14ac:dyDescent="0.25">
      <c r="B19" s="895"/>
      <c r="C19" s="1771">
        <v>10</v>
      </c>
      <c r="D19" s="1782"/>
      <c r="E19" s="887"/>
      <c r="F19" s="888"/>
      <c r="G19" s="1542"/>
      <c r="H19" s="1542"/>
      <c r="I19" s="1542"/>
      <c r="J19" s="1546"/>
      <c r="K19" s="909">
        <f t="shared" si="0"/>
        <v>0</v>
      </c>
      <c r="L19" s="889"/>
      <c r="M19" s="1559"/>
      <c r="N19" s="896"/>
    </row>
    <row r="20" spans="2:14" x14ac:dyDescent="0.25">
      <c r="B20" s="895"/>
      <c r="C20" s="1771">
        <v>11</v>
      </c>
      <c r="D20" s="1782"/>
      <c r="E20" s="887"/>
      <c r="F20" s="888"/>
      <c r="G20" s="1542"/>
      <c r="H20" s="1542"/>
      <c r="I20" s="1542"/>
      <c r="J20" s="1546"/>
      <c r="K20" s="909">
        <f t="shared" si="0"/>
        <v>0</v>
      </c>
      <c r="L20" s="889"/>
      <c r="M20" s="1559"/>
      <c r="N20" s="896"/>
    </row>
    <row r="21" spans="2:14" x14ac:dyDescent="0.25">
      <c r="B21" s="895"/>
      <c r="C21" s="1771">
        <v>12</v>
      </c>
      <c r="D21" s="1782"/>
      <c r="E21" s="887"/>
      <c r="F21" s="888"/>
      <c r="G21" s="1542"/>
      <c r="H21" s="1542"/>
      <c r="I21" s="1542"/>
      <c r="J21" s="1546"/>
      <c r="K21" s="909">
        <f t="shared" si="0"/>
        <v>0</v>
      </c>
      <c r="L21" s="889"/>
      <c r="M21" s="1559"/>
      <c r="N21" s="896"/>
    </row>
    <row r="22" spans="2:14" x14ac:dyDescent="0.25">
      <c r="B22" s="895"/>
      <c r="C22" s="1772">
        <v>13</v>
      </c>
      <c r="D22" s="1782"/>
      <c r="E22" s="887"/>
      <c r="F22" s="890"/>
      <c r="G22" s="849"/>
      <c r="H22" s="849"/>
      <c r="I22" s="849"/>
      <c r="J22" s="1545"/>
      <c r="K22" s="910">
        <f t="shared" si="0"/>
        <v>0</v>
      </c>
      <c r="L22" s="889"/>
      <c r="M22" s="1559"/>
      <c r="N22" s="896"/>
    </row>
    <row r="23" spans="2:14" ht="15.75" thickBot="1" x14ac:dyDescent="0.3">
      <c r="B23" s="895"/>
      <c r="C23" s="1773">
        <v>14</v>
      </c>
      <c r="D23" s="1791"/>
      <c r="E23" s="1556"/>
      <c r="F23" s="1557"/>
      <c r="G23" s="852"/>
      <c r="H23" s="1783"/>
      <c r="I23" s="1783"/>
      <c r="J23" s="1784"/>
      <c r="K23" s="911">
        <f t="shared" si="0"/>
        <v>0</v>
      </c>
      <c r="L23" s="1558"/>
      <c r="M23" s="1787"/>
      <c r="N23" s="896"/>
    </row>
    <row r="24" spans="2:14" ht="16.5" thickTop="1" thickBot="1" x14ac:dyDescent="0.3">
      <c r="B24" s="895"/>
      <c r="C24" s="1792"/>
      <c r="D24" s="1793"/>
      <c r="E24" s="1793"/>
      <c r="F24" s="1794"/>
      <c r="G24" s="1790" t="s">
        <v>45</v>
      </c>
      <c r="H24" s="912">
        <f>SUM(H10:H23)</f>
        <v>53</v>
      </c>
      <c r="I24" s="913">
        <f>SUM(I10:I23)</f>
        <v>0</v>
      </c>
      <c r="J24" s="914">
        <f>SUM(J10:J23)</f>
        <v>0</v>
      </c>
      <c r="K24" s="915">
        <f>SUM(K10:K23)</f>
        <v>53</v>
      </c>
      <c r="L24" s="1788"/>
      <c r="M24" s="1789"/>
      <c r="N24" s="896"/>
    </row>
    <row r="25" spans="2:14" ht="9" customHeight="1" thickBot="1" x14ac:dyDescent="0.3">
      <c r="B25" s="1774"/>
      <c r="C25" s="1775"/>
      <c r="D25" s="1775"/>
      <c r="E25" s="1775"/>
      <c r="F25" s="1775"/>
      <c r="G25" s="1775"/>
      <c r="H25" s="1775"/>
      <c r="I25" s="1775"/>
      <c r="J25" s="1775"/>
      <c r="K25" s="1775"/>
      <c r="L25" s="1775"/>
      <c r="M25" s="1775"/>
      <c r="N25" s="1776"/>
    </row>
  </sheetData>
  <sheetProtection password="9F6B" sheet="1" objects="1" scenarios="1" formatCells="0" formatColumns="0" formatRows="0"/>
  <mergeCells count="3">
    <mergeCell ref="C3:M3"/>
    <mergeCell ref="D5:F5"/>
    <mergeCell ref="D7:F7"/>
  </mergeCells>
  <dataValidations count="3">
    <dataValidation type="list" allowBlank="1" showInputMessage="1" showErrorMessage="1" sqref="G10:G23">
      <formula1>"Yes,No"</formula1>
    </dataValidation>
    <dataValidation type="list" allowBlank="1" showInputMessage="1" showErrorMessage="1" sqref="F10:F23">
      <formula1>"New Construction,Rehab,Acquisition"</formula1>
    </dataValidation>
    <dataValidation type="list" allowBlank="1" showInputMessage="1" showErrorMessage="1" sqref="E10:E23">
      <formula1>"Single-Family Detached, Townhouse/Duplex, Walk-Up (≤3 Floors no elevator), Low-Rise (2-3 floors w elevator), Mid-Rise (4-6 floors w elevator), High Rise (7+ floors), Mobile Home Pad, Shelter/Open-floor"</formula1>
    </dataValidation>
  </dataValidations>
  <pageMargins left="0.7" right="0.7" top="0.75" bottom="0.75" header="0.3" footer="0.3"/>
  <pageSetup scale="79" orientation="landscape" r:id="rId1"/>
  <headerFooter>
    <oddFooter>&amp;LForm 2A(b)
Building Information&amp;CCFA Forms&amp;REdition: 2015
Version: 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7"/>
  <sheetViews>
    <sheetView showGridLines="0" topLeftCell="B1" zoomScaleNormal="100" workbookViewId="0">
      <selection activeCell="H32" sqref="H32"/>
    </sheetView>
  </sheetViews>
  <sheetFormatPr defaultRowHeight="15" x14ac:dyDescent="0.25"/>
  <cols>
    <col min="1" max="2" width="1.7109375" style="838" customWidth="1"/>
    <col min="3" max="3" width="14.28515625" style="838" customWidth="1"/>
    <col min="4" max="6" width="9.140625" style="838"/>
    <col min="7" max="7" width="9.85546875" style="838" customWidth="1"/>
    <col min="8" max="8" width="10.140625" style="838" customWidth="1"/>
    <col min="9" max="9" width="9.140625" style="838"/>
    <col min="10" max="10" width="10.140625" style="838" bestFit="1" customWidth="1"/>
    <col min="11" max="11" width="10" style="838" customWidth="1"/>
    <col min="12" max="12" width="0.7109375" style="838" customWidth="1"/>
    <col min="13" max="13" width="9" style="838" bestFit="1" customWidth="1"/>
    <col min="14" max="15" width="9.140625" style="838"/>
    <col min="16" max="16" width="1.7109375" style="838" customWidth="1"/>
    <col min="17" max="16384" width="9.140625" style="838"/>
  </cols>
  <sheetData>
    <row r="11" spans="2:16" ht="15.75" thickBot="1" x14ac:dyDescent="0.3"/>
    <row r="12" spans="2:16" ht="9" customHeight="1" x14ac:dyDescent="0.25">
      <c r="B12" s="353"/>
      <c r="C12" s="919"/>
      <c r="D12" s="919"/>
      <c r="E12" s="919"/>
      <c r="F12" s="919"/>
      <c r="G12" s="919"/>
      <c r="H12" s="919"/>
      <c r="I12" s="919"/>
      <c r="J12" s="919"/>
      <c r="K12" s="919"/>
      <c r="L12" s="919"/>
      <c r="M12" s="919"/>
      <c r="N12" s="919"/>
      <c r="O12" s="919"/>
      <c r="P12" s="920"/>
    </row>
    <row r="13" spans="2:16" ht="18.75" x14ac:dyDescent="0.25">
      <c r="B13" s="8"/>
      <c r="C13" s="2131" t="s">
        <v>1371</v>
      </c>
      <c r="D13" s="2131"/>
      <c r="E13" s="2131"/>
      <c r="F13" s="2131"/>
      <c r="G13" s="2131"/>
      <c r="H13" s="2131"/>
      <c r="I13" s="2131"/>
      <c r="J13" s="2131"/>
      <c r="K13" s="2131"/>
      <c r="L13" s="2131"/>
      <c r="M13" s="2131"/>
      <c r="N13" s="2131"/>
      <c r="O13" s="2131"/>
      <c r="P13" s="7"/>
    </row>
    <row r="14" spans="2:16" ht="15" customHeight="1" x14ac:dyDescent="0.25">
      <c r="B14" s="8"/>
      <c r="C14" s="5"/>
      <c r="D14" s="5"/>
      <c r="E14" s="921"/>
      <c r="F14" s="921"/>
      <c r="G14" s="921"/>
      <c r="H14" s="921"/>
      <c r="I14" s="921"/>
      <c r="J14" s="921"/>
      <c r="K14" s="5"/>
      <c r="L14" s="5"/>
      <c r="M14" s="5"/>
      <c r="N14" s="5"/>
      <c r="O14" s="5"/>
      <c r="P14" s="7"/>
    </row>
    <row r="15" spans="2:16" x14ac:dyDescent="0.25">
      <c r="B15" s="246"/>
      <c r="C15" s="922" t="s">
        <v>1</v>
      </c>
      <c r="D15" s="923" t="str">
        <f>IF('1A'!G5="","Enter Project Name on Form 1A",'1A'!G5)</f>
        <v>University District Apartments</v>
      </c>
      <c r="E15" s="924"/>
      <c r="F15" s="923"/>
      <c r="G15" s="923"/>
      <c r="H15" s="923"/>
      <c r="I15" s="923"/>
      <c r="J15" s="252"/>
      <c r="K15" s="252"/>
      <c r="L15" s="252"/>
      <c r="M15" s="247"/>
      <c r="N15" s="247"/>
      <c r="O15" s="247"/>
      <c r="P15" s="248"/>
    </row>
    <row r="16" spans="2:16" s="918" customFormat="1" ht="3.75" customHeight="1" x14ac:dyDescent="0.25">
      <c r="B16" s="246"/>
      <c r="C16" s="925"/>
      <c r="D16" s="925"/>
      <c r="E16" s="925"/>
      <c r="F16" s="925"/>
      <c r="G16" s="925"/>
      <c r="H16" s="925"/>
      <c r="I16" s="925"/>
      <c r="J16" s="925"/>
      <c r="K16" s="925"/>
      <c r="L16" s="925"/>
      <c r="M16" s="247"/>
      <c r="N16" s="247"/>
      <c r="O16" s="247"/>
      <c r="P16" s="248"/>
    </row>
    <row r="17" spans="2:16" x14ac:dyDescent="0.25">
      <c r="B17" s="246"/>
      <c r="C17" s="922" t="s">
        <v>1397</v>
      </c>
      <c r="D17" s="923" t="str">
        <f>IF('1A'!G29="","Enter Site Name on Form 1A",'1A'!G29)</f>
        <v>Project A-  4%</v>
      </c>
      <c r="E17" s="924"/>
      <c r="F17" s="923"/>
      <c r="G17" s="923"/>
      <c r="H17" s="923"/>
      <c r="I17" s="923"/>
      <c r="J17" s="252"/>
      <c r="K17" s="252"/>
      <c r="L17" s="252"/>
      <c r="M17" s="247"/>
      <c r="N17" s="247"/>
      <c r="O17" s="247"/>
      <c r="P17" s="248"/>
    </row>
    <row r="18" spans="2:16" s="918" customFormat="1" ht="7.5" customHeight="1" thickBot="1" x14ac:dyDescent="0.3">
      <c r="B18" s="246"/>
      <c r="C18" s="925"/>
      <c r="D18" s="925"/>
      <c r="E18" s="925"/>
      <c r="F18" s="925"/>
      <c r="G18" s="925"/>
      <c r="H18" s="925"/>
      <c r="I18" s="925"/>
      <c r="J18" s="925"/>
      <c r="K18" s="925"/>
      <c r="L18" s="925"/>
      <c r="M18" s="247"/>
      <c r="N18" s="247"/>
      <c r="O18" s="247"/>
      <c r="P18" s="248"/>
    </row>
    <row r="19" spans="2:16" ht="15.75" thickBot="1" x14ac:dyDescent="0.3">
      <c r="B19" s="246"/>
      <c r="C19" s="925"/>
      <c r="D19" s="1598" t="s">
        <v>60</v>
      </c>
      <c r="E19" s="1561"/>
      <c r="F19" s="1561"/>
      <c r="G19" s="1561"/>
      <c r="H19" s="1561"/>
      <c r="I19" s="1561"/>
      <c r="J19" s="1561"/>
      <c r="K19" s="1562"/>
      <c r="L19" s="1563"/>
      <c r="M19" s="2133" t="s">
        <v>61</v>
      </c>
      <c r="N19" s="2134"/>
      <c r="O19" s="1564" t="s">
        <v>62</v>
      </c>
      <c r="P19" s="4"/>
    </row>
    <row r="20" spans="2:16" ht="60.75" customHeight="1" thickBot="1" x14ac:dyDescent="0.3">
      <c r="B20" s="246"/>
      <c r="C20" s="925"/>
      <c r="D20" s="2135" t="s">
        <v>63</v>
      </c>
      <c r="E20" s="2140" t="s">
        <v>68</v>
      </c>
      <c r="F20" s="2140" t="s">
        <v>69</v>
      </c>
      <c r="G20" s="2140" t="s">
        <v>56</v>
      </c>
      <c r="H20" s="2140" t="s">
        <v>70</v>
      </c>
      <c r="I20" s="2140" t="s">
        <v>71</v>
      </c>
      <c r="J20" s="2142" t="s">
        <v>72</v>
      </c>
      <c r="K20" s="2140" t="s">
        <v>73</v>
      </c>
      <c r="L20" s="1565"/>
      <c r="M20" s="2137" t="s">
        <v>64</v>
      </c>
      <c r="N20" s="2139" t="s">
        <v>65</v>
      </c>
      <c r="O20" s="2132" t="s">
        <v>66</v>
      </c>
      <c r="P20" s="4"/>
    </row>
    <row r="21" spans="2:16" ht="15.75" thickBot="1" x14ac:dyDescent="0.3">
      <c r="B21" s="8"/>
      <c r="C21" s="1573" t="s">
        <v>67</v>
      </c>
      <c r="D21" s="2136"/>
      <c r="E21" s="2141"/>
      <c r="F21" s="2141"/>
      <c r="G21" s="2141"/>
      <c r="H21" s="2141"/>
      <c r="I21" s="2141"/>
      <c r="J21" s="2143"/>
      <c r="K21" s="2141"/>
      <c r="L21" s="1574"/>
      <c r="M21" s="2138"/>
      <c r="N21" s="2139"/>
      <c r="O21" s="2132"/>
      <c r="P21" s="926"/>
    </row>
    <row r="22" spans="2:16" x14ac:dyDescent="0.25">
      <c r="B22" s="927"/>
      <c r="C22" s="1560">
        <f>'2A - 4%'!C10</f>
        <v>1</v>
      </c>
      <c r="D22" s="2062">
        <v>4</v>
      </c>
      <c r="E22" s="2063">
        <f>52774+9549-F22</f>
        <v>61783</v>
      </c>
      <c r="F22" s="2064">
        <v>540</v>
      </c>
      <c r="G22" s="2064">
        <v>0</v>
      </c>
      <c r="H22" s="2064">
        <v>0</v>
      </c>
      <c r="I22" s="1576">
        <f>0.61105*8127</f>
        <v>4966.00335</v>
      </c>
      <c r="J22" s="1599">
        <v>9009</v>
      </c>
      <c r="K22" s="1602">
        <f>SUM(E22:J22)</f>
        <v>76298.003349999999</v>
      </c>
      <c r="L22" s="1577"/>
      <c r="M22" s="1578"/>
      <c r="N22" s="1579"/>
      <c r="O22" s="1594">
        <f>K22+N22</f>
        <v>76298.003349999999</v>
      </c>
      <c r="P22" s="7"/>
    </row>
    <row r="23" spans="2:16" x14ac:dyDescent="0.25">
      <c r="B23" s="927"/>
      <c r="C23" s="928">
        <v>2</v>
      </c>
      <c r="D23" s="1580"/>
      <c r="E23" s="1581"/>
      <c r="F23" s="1582"/>
      <c r="G23" s="1582"/>
      <c r="H23" s="1582"/>
      <c r="I23" s="1582"/>
      <c r="J23" s="1600"/>
      <c r="K23" s="1603">
        <f t="shared" ref="K23:K35" si="0">SUM(E23:J23)</f>
        <v>0</v>
      </c>
      <c r="L23" s="1583"/>
      <c r="M23" s="1584"/>
      <c r="N23" s="1585"/>
      <c r="O23" s="1595">
        <f t="shared" ref="O23:O35" si="1">K23+N23</f>
        <v>0</v>
      </c>
      <c r="P23" s="7"/>
    </row>
    <row r="24" spans="2:16" x14ac:dyDescent="0.25">
      <c r="B24" s="927"/>
      <c r="C24" s="928">
        <v>3</v>
      </c>
      <c r="D24" s="1580"/>
      <c r="E24" s="1581"/>
      <c r="F24" s="1582"/>
      <c r="G24" s="1582"/>
      <c r="H24" s="1582"/>
      <c r="I24" s="1582"/>
      <c r="J24" s="1600"/>
      <c r="K24" s="1603">
        <f t="shared" si="0"/>
        <v>0</v>
      </c>
      <c r="L24" s="1583"/>
      <c r="M24" s="1584"/>
      <c r="N24" s="1585"/>
      <c r="O24" s="1595">
        <f t="shared" si="1"/>
        <v>0</v>
      </c>
      <c r="P24" s="7"/>
    </row>
    <row r="25" spans="2:16" x14ac:dyDescent="0.25">
      <c r="B25" s="927"/>
      <c r="C25" s="928">
        <v>4</v>
      </c>
      <c r="D25" s="1586"/>
      <c r="E25" s="1587"/>
      <c r="F25" s="1588"/>
      <c r="G25" s="1588"/>
      <c r="H25" s="1588"/>
      <c r="I25" s="1588"/>
      <c r="J25" s="1585"/>
      <c r="K25" s="1603">
        <f t="shared" si="0"/>
        <v>0</v>
      </c>
      <c r="L25" s="1583"/>
      <c r="M25" s="1584"/>
      <c r="N25" s="1585"/>
      <c r="O25" s="1595">
        <f t="shared" si="1"/>
        <v>0</v>
      </c>
      <c r="P25" s="7"/>
    </row>
    <row r="26" spans="2:16" x14ac:dyDescent="0.25">
      <c r="B26" s="927"/>
      <c r="C26" s="928">
        <v>5</v>
      </c>
      <c r="D26" s="1580"/>
      <c r="E26" s="1581"/>
      <c r="F26" s="1582"/>
      <c r="G26" s="1582"/>
      <c r="H26" s="1582"/>
      <c r="I26" s="1582"/>
      <c r="J26" s="1600"/>
      <c r="K26" s="1603">
        <f t="shared" si="0"/>
        <v>0</v>
      </c>
      <c r="L26" s="1583"/>
      <c r="M26" s="1584"/>
      <c r="N26" s="1585"/>
      <c r="O26" s="1595">
        <f t="shared" si="1"/>
        <v>0</v>
      </c>
      <c r="P26" s="7"/>
    </row>
    <row r="27" spans="2:16" x14ac:dyDescent="0.25">
      <c r="B27" s="927"/>
      <c r="C27" s="928">
        <v>6</v>
      </c>
      <c r="D27" s="1586"/>
      <c r="E27" s="1587"/>
      <c r="F27" s="1588"/>
      <c r="G27" s="1588"/>
      <c r="H27" s="1588"/>
      <c r="I27" s="1588"/>
      <c r="J27" s="1585"/>
      <c r="K27" s="1603">
        <f t="shared" si="0"/>
        <v>0</v>
      </c>
      <c r="L27" s="1583"/>
      <c r="M27" s="1584"/>
      <c r="N27" s="1585"/>
      <c r="O27" s="1595">
        <f t="shared" si="1"/>
        <v>0</v>
      </c>
      <c r="P27" s="7"/>
    </row>
    <row r="28" spans="2:16" x14ac:dyDescent="0.25">
      <c r="B28" s="927"/>
      <c r="C28" s="1566">
        <v>7</v>
      </c>
      <c r="D28" s="1580"/>
      <c r="E28" s="1581"/>
      <c r="F28" s="1582"/>
      <c r="G28" s="1582"/>
      <c r="H28" s="1582"/>
      <c r="I28" s="1582"/>
      <c r="J28" s="1600"/>
      <c r="K28" s="1603">
        <f t="shared" si="0"/>
        <v>0</v>
      </c>
      <c r="L28" s="1583"/>
      <c r="M28" s="1584"/>
      <c r="N28" s="1585"/>
      <c r="O28" s="1595">
        <f t="shared" si="1"/>
        <v>0</v>
      </c>
      <c r="P28" s="7"/>
    </row>
    <row r="29" spans="2:16" x14ac:dyDescent="0.25">
      <c r="B29" s="927"/>
      <c r="C29" s="928">
        <v>8</v>
      </c>
      <c r="D29" s="1586"/>
      <c r="E29" s="1587"/>
      <c r="F29" s="1588"/>
      <c r="G29" s="1588"/>
      <c r="H29" s="1588"/>
      <c r="I29" s="1588"/>
      <c r="J29" s="1585"/>
      <c r="K29" s="1603">
        <f t="shared" si="0"/>
        <v>0</v>
      </c>
      <c r="L29" s="1583"/>
      <c r="M29" s="1584"/>
      <c r="N29" s="1585"/>
      <c r="O29" s="1595">
        <f t="shared" si="1"/>
        <v>0</v>
      </c>
      <c r="P29" s="7"/>
    </row>
    <row r="30" spans="2:16" x14ac:dyDescent="0.25">
      <c r="B30" s="927"/>
      <c r="C30" s="928">
        <v>9</v>
      </c>
      <c r="D30" s="1580"/>
      <c r="E30" s="1581"/>
      <c r="F30" s="1582"/>
      <c r="G30" s="1582"/>
      <c r="H30" s="1582"/>
      <c r="I30" s="1582"/>
      <c r="J30" s="1600"/>
      <c r="K30" s="1603">
        <f t="shared" si="0"/>
        <v>0</v>
      </c>
      <c r="L30" s="1583"/>
      <c r="M30" s="1584"/>
      <c r="N30" s="1585"/>
      <c r="O30" s="1595">
        <f t="shared" si="1"/>
        <v>0</v>
      </c>
      <c r="P30" s="7"/>
    </row>
    <row r="31" spans="2:16" x14ac:dyDescent="0.25">
      <c r="B31" s="927"/>
      <c r="C31" s="928">
        <v>10</v>
      </c>
      <c r="D31" s="1586"/>
      <c r="E31" s="1587"/>
      <c r="F31" s="1588"/>
      <c r="G31" s="1588"/>
      <c r="H31" s="1588"/>
      <c r="I31" s="1588"/>
      <c r="J31" s="1585"/>
      <c r="K31" s="1603">
        <f t="shared" si="0"/>
        <v>0</v>
      </c>
      <c r="L31" s="1583"/>
      <c r="M31" s="1584"/>
      <c r="N31" s="1585"/>
      <c r="O31" s="1595">
        <f t="shared" si="1"/>
        <v>0</v>
      </c>
      <c r="P31" s="7"/>
    </row>
    <row r="32" spans="2:16" x14ac:dyDescent="0.25">
      <c r="B32" s="927"/>
      <c r="C32" s="928">
        <v>11</v>
      </c>
      <c r="D32" s="1580"/>
      <c r="E32" s="1581"/>
      <c r="F32" s="1582"/>
      <c r="G32" s="1582"/>
      <c r="H32" s="1582"/>
      <c r="I32" s="1582"/>
      <c r="J32" s="1600"/>
      <c r="K32" s="1603">
        <f t="shared" si="0"/>
        <v>0</v>
      </c>
      <c r="L32" s="1583"/>
      <c r="M32" s="1584"/>
      <c r="N32" s="1585"/>
      <c r="O32" s="1595">
        <f t="shared" si="1"/>
        <v>0</v>
      </c>
      <c r="P32" s="7"/>
    </row>
    <row r="33" spans="2:16" x14ac:dyDescent="0.25">
      <c r="B33" s="927"/>
      <c r="C33" s="928">
        <v>12</v>
      </c>
      <c r="D33" s="1586"/>
      <c r="E33" s="1587"/>
      <c r="F33" s="1588"/>
      <c r="G33" s="1588"/>
      <c r="H33" s="1588"/>
      <c r="I33" s="1588"/>
      <c r="J33" s="1585"/>
      <c r="K33" s="1603">
        <f t="shared" si="0"/>
        <v>0</v>
      </c>
      <c r="L33" s="1583"/>
      <c r="M33" s="1584"/>
      <c r="N33" s="1585"/>
      <c r="O33" s="1595">
        <f t="shared" si="1"/>
        <v>0</v>
      </c>
      <c r="P33" s="7"/>
    </row>
    <row r="34" spans="2:16" x14ac:dyDescent="0.25">
      <c r="B34" s="927"/>
      <c r="C34" s="1566">
        <v>13</v>
      </c>
      <c r="D34" s="1580"/>
      <c r="E34" s="1581"/>
      <c r="F34" s="1582"/>
      <c r="G34" s="1582"/>
      <c r="H34" s="1582"/>
      <c r="I34" s="1582"/>
      <c r="J34" s="1600"/>
      <c r="K34" s="1603">
        <f t="shared" si="0"/>
        <v>0</v>
      </c>
      <c r="L34" s="1583"/>
      <c r="M34" s="1584"/>
      <c r="N34" s="1585"/>
      <c r="O34" s="1595">
        <f t="shared" si="1"/>
        <v>0</v>
      </c>
      <c r="P34" s="7"/>
    </row>
    <row r="35" spans="2:16" ht="15.75" thickBot="1" x14ac:dyDescent="0.3">
      <c r="B35" s="927"/>
      <c r="C35" s="1567">
        <v>14</v>
      </c>
      <c r="D35" s="1589"/>
      <c r="E35" s="1590"/>
      <c r="F35" s="1591"/>
      <c r="G35" s="1591"/>
      <c r="H35" s="1591"/>
      <c r="I35" s="1591"/>
      <c r="J35" s="1601"/>
      <c r="K35" s="1604">
        <f t="shared" si="0"/>
        <v>0</v>
      </c>
      <c r="L35" s="1583"/>
      <c r="M35" s="1592"/>
      <c r="N35" s="1593"/>
      <c r="O35" s="1596">
        <f t="shared" si="1"/>
        <v>0</v>
      </c>
      <c r="P35" s="7"/>
    </row>
    <row r="36" spans="2:16" ht="16.5" thickTop="1" thickBot="1" x14ac:dyDescent="0.3">
      <c r="B36" s="927"/>
      <c r="C36" s="929" t="s">
        <v>74</v>
      </c>
      <c r="D36" s="1568"/>
      <c r="E36" s="1569">
        <f t="shared" ref="E36:K36" si="2">SUM(E22:E35)</f>
        <v>61783</v>
      </c>
      <c r="F36" s="1569">
        <f t="shared" si="2"/>
        <v>540</v>
      </c>
      <c r="G36" s="1569">
        <f t="shared" si="2"/>
        <v>0</v>
      </c>
      <c r="H36" s="1569">
        <f t="shared" si="2"/>
        <v>0</v>
      </c>
      <c r="I36" s="1569">
        <f t="shared" si="2"/>
        <v>4966.00335</v>
      </c>
      <c r="J36" s="1570">
        <f t="shared" si="2"/>
        <v>9009</v>
      </c>
      <c r="K36" s="1605">
        <f t="shared" si="2"/>
        <v>76298.003349999999</v>
      </c>
      <c r="L36" s="1571"/>
      <c r="M36" s="1572"/>
      <c r="N36" s="1570">
        <f>SUM(N22:N35)</f>
        <v>0</v>
      </c>
      <c r="O36" s="1597">
        <f>SUM(O22:O35)</f>
        <v>76298.003349999999</v>
      </c>
      <c r="P36" s="7"/>
    </row>
    <row r="37" spans="2:16" ht="9" customHeight="1" thickBot="1" x14ac:dyDescent="0.3">
      <c r="B37" s="930"/>
      <c r="C37" s="10"/>
      <c r="D37" s="10"/>
      <c r="E37" s="10"/>
      <c r="F37" s="10"/>
      <c r="G37" s="10"/>
      <c r="H37" s="10"/>
      <c r="I37" s="10"/>
      <c r="J37" s="10"/>
      <c r="K37" s="10"/>
      <c r="L37" s="10"/>
      <c r="M37" s="931"/>
      <c r="N37" s="931"/>
      <c r="O37" s="931"/>
      <c r="P37" s="932"/>
    </row>
  </sheetData>
  <sheetProtection password="9F6B" sheet="1" objects="1" scenarios="1" formatCells="0" formatColumns="0" formatRows="0"/>
  <mergeCells count="13">
    <mergeCell ref="C13:O13"/>
    <mergeCell ref="O20:O21"/>
    <mergeCell ref="M19:N19"/>
    <mergeCell ref="D20:D21"/>
    <mergeCell ref="M20:M21"/>
    <mergeCell ref="N20:N21"/>
    <mergeCell ref="E20:E21"/>
    <mergeCell ref="F20:F21"/>
    <mergeCell ref="G20:G21"/>
    <mergeCell ref="H20:H21"/>
    <mergeCell ref="I20:I21"/>
    <mergeCell ref="J20:J21"/>
    <mergeCell ref="K20:K21"/>
  </mergeCells>
  <pageMargins left="0.7" right="0.7" top="0.75" bottom="0.75" header="0.3" footer="0.3"/>
  <pageSetup scale="99" orientation="landscape" r:id="rId1"/>
  <headerFooter>
    <oddFooter>&amp;LForm 2B(a)
Square Footage Details&amp;CCFA Forms&amp;REdition: 2015
Version: 1.1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1:P37"/>
  <sheetViews>
    <sheetView showGridLines="0" topLeftCell="B1" zoomScaleNormal="100" workbookViewId="0">
      <selection activeCell="H27" sqref="H27"/>
    </sheetView>
  </sheetViews>
  <sheetFormatPr defaultRowHeight="15" x14ac:dyDescent="0.25"/>
  <cols>
    <col min="1" max="2" width="1.7109375" style="838" customWidth="1"/>
    <col min="3" max="3" width="14.28515625" style="838" customWidth="1"/>
    <col min="4" max="6" width="9.140625" style="838"/>
    <col min="7" max="7" width="9.85546875" style="838" customWidth="1"/>
    <col min="8" max="8" width="10.140625" style="838" customWidth="1"/>
    <col min="9" max="9" width="9.140625" style="838"/>
    <col min="10" max="10" width="10.140625" style="838" bestFit="1" customWidth="1"/>
    <col min="11" max="11" width="10" style="838" customWidth="1"/>
    <col min="12" max="12" width="0.7109375" style="838" customWidth="1"/>
    <col min="13" max="13" width="9" style="838" bestFit="1" customWidth="1"/>
    <col min="14" max="15" width="9.140625" style="838"/>
    <col min="16" max="16" width="1.7109375" style="838" customWidth="1"/>
    <col min="17" max="16384" width="9.140625" style="838"/>
  </cols>
  <sheetData>
    <row r="11" spans="2:16" ht="15.75" thickBot="1" x14ac:dyDescent="0.3"/>
    <row r="12" spans="2:16" ht="9" customHeight="1" x14ac:dyDescent="0.25">
      <c r="B12" s="353"/>
      <c r="C12" s="919"/>
      <c r="D12" s="919"/>
      <c r="E12" s="919"/>
      <c r="F12" s="919"/>
      <c r="G12" s="919"/>
      <c r="H12" s="919"/>
      <c r="I12" s="919"/>
      <c r="J12" s="919"/>
      <c r="K12" s="919"/>
      <c r="L12" s="919"/>
      <c r="M12" s="919"/>
      <c r="N12" s="919"/>
      <c r="O12" s="919"/>
      <c r="P12" s="920"/>
    </row>
    <row r="13" spans="2:16" ht="18.75" x14ac:dyDescent="0.25">
      <c r="B13" s="8"/>
      <c r="C13" s="2144" t="s">
        <v>1372</v>
      </c>
      <c r="D13" s="2144"/>
      <c r="E13" s="2144"/>
      <c r="F13" s="2144"/>
      <c r="G13" s="2144"/>
      <c r="H13" s="2144"/>
      <c r="I13" s="2144"/>
      <c r="J13" s="2144"/>
      <c r="K13" s="2144"/>
      <c r="L13" s="2144"/>
      <c r="M13" s="2144"/>
      <c r="N13" s="2144"/>
      <c r="O13" s="2144"/>
      <c r="P13" s="7"/>
    </row>
    <row r="14" spans="2:16" ht="15" customHeight="1" x14ac:dyDescent="0.25">
      <c r="B14" s="8"/>
      <c r="C14" s="5"/>
      <c r="D14" s="5"/>
      <c r="E14" s="921"/>
      <c r="F14" s="921"/>
      <c r="G14" s="921"/>
      <c r="H14" s="921"/>
      <c r="I14" s="921"/>
      <c r="J14" s="921"/>
      <c r="K14" s="5"/>
      <c r="L14" s="5"/>
      <c r="M14" s="5"/>
      <c r="N14" s="5"/>
      <c r="O14" s="5"/>
      <c r="P14" s="7"/>
    </row>
    <row r="15" spans="2:16" x14ac:dyDescent="0.25">
      <c r="B15" s="246"/>
      <c r="C15" s="922" t="s">
        <v>1</v>
      </c>
      <c r="D15" s="923" t="str">
        <f>IF('1A'!G5="","Enter Project Name on Form 1A",'1A'!G5)</f>
        <v>University District Apartments</v>
      </c>
      <c r="E15" s="924"/>
      <c r="F15" s="923"/>
      <c r="G15" s="923"/>
      <c r="H15" s="923"/>
      <c r="I15" s="923"/>
      <c r="J15" s="252"/>
      <c r="K15" s="252"/>
      <c r="L15" s="252"/>
      <c r="M15" s="247"/>
      <c r="N15" s="247"/>
      <c r="O15" s="247"/>
      <c r="P15" s="248"/>
    </row>
    <row r="16" spans="2:16" s="918" customFormat="1" ht="3.75" customHeight="1" x14ac:dyDescent="0.25">
      <c r="B16" s="246"/>
      <c r="C16" s="925"/>
      <c r="D16" s="925"/>
      <c r="E16" s="925"/>
      <c r="F16" s="925"/>
      <c r="G16" s="925"/>
      <c r="H16" s="925"/>
      <c r="I16" s="925"/>
      <c r="J16" s="925"/>
      <c r="K16" s="925"/>
      <c r="L16" s="925"/>
      <c r="M16" s="247"/>
      <c r="N16" s="247"/>
      <c r="O16" s="247"/>
      <c r="P16" s="248"/>
    </row>
    <row r="17" spans="2:16" x14ac:dyDescent="0.25">
      <c r="B17" s="246"/>
      <c r="C17" s="922" t="s">
        <v>1397</v>
      </c>
      <c r="D17" s="923" t="str">
        <f>IF('1A'!G44="","Enter Site Name on Form 1A",'1A'!G44)</f>
        <v>Project B - 9%</v>
      </c>
      <c r="E17" s="924"/>
      <c r="F17" s="923"/>
      <c r="G17" s="923"/>
      <c r="H17" s="923"/>
      <c r="I17" s="923"/>
      <c r="J17" s="252"/>
      <c r="K17" s="252"/>
      <c r="L17" s="252"/>
      <c r="M17" s="247"/>
      <c r="N17" s="247"/>
      <c r="O17" s="247"/>
      <c r="P17" s="248"/>
    </row>
    <row r="18" spans="2:16" s="918" customFormat="1" ht="7.5" customHeight="1" thickBot="1" x14ac:dyDescent="0.3">
      <c r="B18" s="246"/>
      <c r="C18" s="925"/>
      <c r="D18" s="925"/>
      <c r="E18" s="925"/>
      <c r="F18" s="925"/>
      <c r="G18" s="925"/>
      <c r="H18" s="925"/>
      <c r="I18" s="925"/>
      <c r="J18" s="925"/>
      <c r="K18" s="925"/>
      <c r="L18" s="925"/>
      <c r="M18" s="247"/>
      <c r="N18" s="247"/>
      <c r="O18" s="247"/>
      <c r="P18" s="248"/>
    </row>
    <row r="19" spans="2:16" ht="15.75" thickBot="1" x14ac:dyDescent="0.3">
      <c r="B19" s="246"/>
      <c r="C19" s="925"/>
      <c r="D19" s="1598" t="s">
        <v>60</v>
      </c>
      <c r="E19" s="1561"/>
      <c r="F19" s="1561"/>
      <c r="G19" s="1561"/>
      <c r="H19" s="1561"/>
      <c r="I19" s="1561"/>
      <c r="J19" s="1561"/>
      <c r="K19" s="1562"/>
      <c r="L19" s="1563"/>
      <c r="M19" s="2133" t="s">
        <v>61</v>
      </c>
      <c r="N19" s="2134"/>
      <c r="O19" s="1564" t="s">
        <v>62</v>
      </c>
      <c r="P19" s="4"/>
    </row>
    <row r="20" spans="2:16" ht="60.75" customHeight="1" thickBot="1" x14ac:dyDescent="0.3">
      <c r="B20" s="246"/>
      <c r="C20" s="925"/>
      <c r="D20" s="2135" t="s">
        <v>63</v>
      </c>
      <c r="E20" s="2140" t="s">
        <v>68</v>
      </c>
      <c r="F20" s="2140" t="s">
        <v>69</v>
      </c>
      <c r="G20" s="2140" t="s">
        <v>56</v>
      </c>
      <c r="H20" s="2140" t="s">
        <v>70</v>
      </c>
      <c r="I20" s="2140" t="s">
        <v>71</v>
      </c>
      <c r="J20" s="2142" t="s">
        <v>72</v>
      </c>
      <c r="K20" s="2140" t="s">
        <v>73</v>
      </c>
      <c r="L20" s="1565"/>
      <c r="M20" s="2137" t="s">
        <v>64</v>
      </c>
      <c r="N20" s="2139" t="s">
        <v>65</v>
      </c>
      <c r="O20" s="2132" t="s">
        <v>66</v>
      </c>
      <c r="P20" s="4"/>
    </row>
    <row r="21" spans="2:16" ht="15.75" thickBot="1" x14ac:dyDescent="0.3">
      <c r="B21" s="8"/>
      <c r="C21" s="1573" t="s">
        <v>67</v>
      </c>
      <c r="D21" s="2136"/>
      <c r="E21" s="2141"/>
      <c r="F21" s="2141"/>
      <c r="G21" s="2141"/>
      <c r="H21" s="2141"/>
      <c r="I21" s="2141"/>
      <c r="J21" s="2143"/>
      <c r="K21" s="2141"/>
      <c r="L21" s="1574"/>
      <c r="M21" s="2138"/>
      <c r="N21" s="2139"/>
      <c r="O21" s="2132"/>
      <c r="P21" s="926"/>
    </row>
    <row r="22" spans="2:16" x14ac:dyDescent="0.25">
      <c r="B22" s="927"/>
      <c r="C22" s="1560">
        <f>'2A - 4%'!C10</f>
        <v>1</v>
      </c>
      <c r="D22" s="2062">
        <v>4</v>
      </c>
      <c r="E22" s="1575">
        <f>35290+5485</f>
        <v>40775</v>
      </c>
      <c r="F22" s="1576">
        <v>0</v>
      </c>
      <c r="G22" s="1576">
        <v>0</v>
      </c>
      <c r="H22" s="2064">
        <v>619</v>
      </c>
      <c r="I22" s="1576">
        <f>(0.38895*8127)</f>
        <v>3160.99665</v>
      </c>
      <c r="J22" s="1599">
        <v>5460</v>
      </c>
      <c r="K22" s="1602">
        <f>SUM(E22:J22)</f>
        <v>50014.996650000001</v>
      </c>
      <c r="L22" s="1577"/>
      <c r="M22" s="2065">
        <v>1</v>
      </c>
      <c r="N22" s="1579">
        <v>1490</v>
      </c>
      <c r="O22" s="1594">
        <f>K22+N22</f>
        <v>51504.996650000001</v>
      </c>
      <c r="P22" s="7"/>
    </row>
    <row r="23" spans="2:16" x14ac:dyDescent="0.25">
      <c r="B23" s="927"/>
      <c r="C23" s="928">
        <v>2</v>
      </c>
      <c r="D23" s="1580"/>
      <c r="E23" s="1581"/>
      <c r="F23" s="1582"/>
      <c r="G23" s="1582"/>
      <c r="H23" s="1582"/>
      <c r="I23" s="1582"/>
      <c r="J23" s="1600"/>
      <c r="K23" s="1603">
        <f t="shared" ref="K23:K35" si="0">SUM(E23:J23)</f>
        <v>0</v>
      </c>
      <c r="L23" s="1583"/>
      <c r="M23" s="1584"/>
      <c r="N23" s="1585"/>
      <c r="O23" s="1595">
        <f t="shared" ref="O23:O35" si="1">K23+N23</f>
        <v>0</v>
      </c>
      <c r="P23" s="7"/>
    </row>
    <row r="24" spans="2:16" x14ac:dyDescent="0.25">
      <c r="B24" s="927"/>
      <c r="C24" s="928">
        <v>3</v>
      </c>
      <c r="D24" s="1580"/>
      <c r="E24" s="1581"/>
      <c r="F24" s="1582"/>
      <c r="G24" s="1582"/>
      <c r="H24" s="1582"/>
      <c r="I24" s="1582"/>
      <c r="J24" s="1600"/>
      <c r="K24" s="1603">
        <f t="shared" si="0"/>
        <v>0</v>
      </c>
      <c r="L24" s="1583"/>
      <c r="M24" s="1584"/>
      <c r="N24" s="1585"/>
      <c r="O24" s="1595">
        <f t="shared" si="1"/>
        <v>0</v>
      </c>
      <c r="P24" s="7"/>
    </row>
    <row r="25" spans="2:16" x14ac:dyDescent="0.25">
      <c r="B25" s="927"/>
      <c r="C25" s="928">
        <v>4</v>
      </c>
      <c r="D25" s="1586"/>
      <c r="E25" s="1587"/>
      <c r="F25" s="1588"/>
      <c r="G25" s="1588"/>
      <c r="H25" s="1588"/>
      <c r="I25" s="1588"/>
      <c r="J25" s="1585"/>
      <c r="K25" s="1603">
        <f t="shared" si="0"/>
        <v>0</v>
      </c>
      <c r="L25" s="1583"/>
      <c r="M25" s="1584"/>
      <c r="N25" s="1585"/>
      <c r="O25" s="1595">
        <f t="shared" si="1"/>
        <v>0</v>
      </c>
      <c r="P25" s="7"/>
    </row>
    <row r="26" spans="2:16" x14ac:dyDescent="0.25">
      <c r="B26" s="927"/>
      <c r="C26" s="928">
        <v>5</v>
      </c>
      <c r="D26" s="1580"/>
      <c r="E26" s="1581"/>
      <c r="F26" s="1582"/>
      <c r="G26" s="1582"/>
      <c r="H26" s="1582"/>
      <c r="I26" s="1582"/>
      <c r="J26" s="1600"/>
      <c r="K26" s="1603">
        <f t="shared" si="0"/>
        <v>0</v>
      </c>
      <c r="L26" s="1583"/>
      <c r="M26" s="1584"/>
      <c r="N26" s="1585"/>
      <c r="O26" s="1595">
        <f t="shared" si="1"/>
        <v>0</v>
      </c>
      <c r="P26" s="7"/>
    </row>
    <row r="27" spans="2:16" x14ac:dyDescent="0.25">
      <c r="B27" s="927"/>
      <c r="C27" s="928">
        <v>6</v>
      </c>
      <c r="D27" s="1586"/>
      <c r="E27" s="1587"/>
      <c r="F27" s="1588"/>
      <c r="G27" s="1588"/>
      <c r="H27" s="1588"/>
      <c r="I27" s="1588"/>
      <c r="J27" s="1585"/>
      <c r="K27" s="1603">
        <f t="shared" si="0"/>
        <v>0</v>
      </c>
      <c r="L27" s="1583"/>
      <c r="M27" s="1584"/>
      <c r="N27" s="1585"/>
      <c r="O27" s="1595">
        <f t="shared" si="1"/>
        <v>0</v>
      </c>
      <c r="P27" s="7"/>
    </row>
    <row r="28" spans="2:16" x14ac:dyDescent="0.25">
      <c r="B28" s="927"/>
      <c r="C28" s="1566">
        <v>7</v>
      </c>
      <c r="D28" s="1580"/>
      <c r="E28" s="1581"/>
      <c r="F28" s="1582"/>
      <c r="G28" s="1582"/>
      <c r="H28" s="1582"/>
      <c r="I28" s="1582"/>
      <c r="J28" s="1600"/>
      <c r="K28" s="1603">
        <f t="shared" si="0"/>
        <v>0</v>
      </c>
      <c r="L28" s="1583"/>
      <c r="M28" s="1584"/>
      <c r="N28" s="1585"/>
      <c r="O28" s="1595">
        <f t="shared" si="1"/>
        <v>0</v>
      </c>
      <c r="P28" s="7"/>
    </row>
    <row r="29" spans="2:16" x14ac:dyDescent="0.25">
      <c r="B29" s="927"/>
      <c r="C29" s="928">
        <v>8</v>
      </c>
      <c r="D29" s="1586"/>
      <c r="E29" s="1587"/>
      <c r="F29" s="1588"/>
      <c r="G29" s="1588"/>
      <c r="H29" s="1588"/>
      <c r="I29" s="1588"/>
      <c r="J29" s="1585"/>
      <c r="K29" s="1603">
        <f t="shared" si="0"/>
        <v>0</v>
      </c>
      <c r="L29" s="1583"/>
      <c r="M29" s="1584"/>
      <c r="N29" s="1585"/>
      <c r="O29" s="1595">
        <f t="shared" si="1"/>
        <v>0</v>
      </c>
      <c r="P29" s="7"/>
    </row>
    <row r="30" spans="2:16" x14ac:dyDescent="0.25">
      <c r="B30" s="927"/>
      <c r="C30" s="928">
        <v>9</v>
      </c>
      <c r="D30" s="1580"/>
      <c r="E30" s="1581"/>
      <c r="F30" s="1582"/>
      <c r="G30" s="1582"/>
      <c r="H30" s="1582"/>
      <c r="I30" s="1582"/>
      <c r="J30" s="1600"/>
      <c r="K30" s="1603">
        <f t="shared" si="0"/>
        <v>0</v>
      </c>
      <c r="L30" s="1583"/>
      <c r="M30" s="1584"/>
      <c r="N30" s="1585"/>
      <c r="O30" s="1595">
        <f t="shared" si="1"/>
        <v>0</v>
      </c>
      <c r="P30" s="7"/>
    </row>
    <row r="31" spans="2:16" x14ac:dyDescent="0.25">
      <c r="B31" s="927"/>
      <c r="C31" s="928">
        <v>10</v>
      </c>
      <c r="D31" s="1586"/>
      <c r="E31" s="1587"/>
      <c r="F31" s="1588"/>
      <c r="G31" s="1588"/>
      <c r="H31" s="1588"/>
      <c r="I31" s="1588"/>
      <c r="J31" s="1585"/>
      <c r="K31" s="1603">
        <f t="shared" si="0"/>
        <v>0</v>
      </c>
      <c r="L31" s="1583"/>
      <c r="M31" s="1584"/>
      <c r="N31" s="1585"/>
      <c r="O31" s="1595">
        <f t="shared" si="1"/>
        <v>0</v>
      </c>
      <c r="P31" s="7"/>
    </row>
    <row r="32" spans="2:16" x14ac:dyDescent="0.25">
      <c r="B32" s="927"/>
      <c r="C32" s="928">
        <v>11</v>
      </c>
      <c r="D32" s="1580"/>
      <c r="E32" s="1581"/>
      <c r="F32" s="1582"/>
      <c r="G32" s="1582"/>
      <c r="H32" s="1582"/>
      <c r="I32" s="1582"/>
      <c r="J32" s="1600"/>
      <c r="K32" s="1603">
        <f t="shared" si="0"/>
        <v>0</v>
      </c>
      <c r="L32" s="1583"/>
      <c r="M32" s="1584"/>
      <c r="N32" s="1585"/>
      <c r="O32" s="1595">
        <f t="shared" si="1"/>
        <v>0</v>
      </c>
      <c r="P32" s="7"/>
    </row>
    <row r="33" spans="2:16" x14ac:dyDescent="0.25">
      <c r="B33" s="927"/>
      <c r="C33" s="928">
        <v>12</v>
      </c>
      <c r="D33" s="1586"/>
      <c r="E33" s="1587"/>
      <c r="F33" s="1588"/>
      <c r="G33" s="1588"/>
      <c r="H33" s="1588"/>
      <c r="I33" s="1588"/>
      <c r="J33" s="1585"/>
      <c r="K33" s="1603">
        <f t="shared" si="0"/>
        <v>0</v>
      </c>
      <c r="L33" s="1583"/>
      <c r="M33" s="1584"/>
      <c r="N33" s="1585"/>
      <c r="O33" s="1595">
        <f t="shared" si="1"/>
        <v>0</v>
      </c>
      <c r="P33" s="7"/>
    </row>
    <row r="34" spans="2:16" x14ac:dyDescent="0.25">
      <c r="B34" s="927"/>
      <c r="C34" s="1566">
        <v>13</v>
      </c>
      <c r="D34" s="1580"/>
      <c r="E34" s="1581"/>
      <c r="F34" s="1582"/>
      <c r="G34" s="1582"/>
      <c r="H34" s="1582"/>
      <c r="I34" s="1582"/>
      <c r="J34" s="1600"/>
      <c r="K34" s="1603">
        <f t="shared" si="0"/>
        <v>0</v>
      </c>
      <c r="L34" s="1583"/>
      <c r="M34" s="1584"/>
      <c r="N34" s="1585"/>
      <c r="O34" s="1595">
        <f t="shared" si="1"/>
        <v>0</v>
      </c>
      <c r="P34" s="7"/>
    </row>
    <row r="35" spans="2:16" ht="15.75" thickBot="1" x14ac:dyDescent="0.3">
      <c r="B35" s="927"/>
      <c r="C35" s="1567">
        <v>14</v>
      </c>
      <c r="D35" s="1589"/>
      <c r="E35" s="1590"/>
      <c r="F35" s="1591"/>
      <c r="G35" s="1591"/>
      <c r="H35" s="1591"/>
      <c r="I35" s="1591"/>
      <c r="J35" s="1601"/>
      <c r="K35" s="1604">
        <f t="shared" si="0"/>
        <v>0</v>
      </c>
      <c r="L35" s="1583"/>
      <c r="M35" s="1592"/>
      <c r="N35" s="1593"/>
      <c r="O35" s="1596">
        <f t="shared" si="1"/>
        <v>0</v>
      </c>
      <c r="P35" s="7"/>
    </row>
    <row r="36" spans="2:16" ht="16.5" thickTop="1" thickBot="1" x14ac:dyDescent="0.3">
      <c r="B36" s="927"/>
      <c r="C36" s="929" t="s">
        <v>74</v>
      </c>
      <c r="D36" s="1568"/>
      <c r="E36" s="1569">
        <f t="shared" ref="E36:K36" si="2">SUM(E22:E35)</f>
        <v>40775</v>
      </c>
      <c r="F36" s="1569">
        <f t="shared" si="2"/>
        <v>0</v>
      </c>
      <c r="G36" s="1569">
        <f t="shared" si="2"/>
        <v>0</v>
      </c>
      <c r="H36" s="1569">
        <f t="shared" si="2"/>
        <v>619</v>
      </c>
      <c r="I36" s="1569">
        <f t="shared" si="2"/>
        <v>3160.99665</v>
      </c>
      <c r="J36" s="1570">
        <f t="shared" si="2"/>
        <v>5460</v>
      </c>
      <c r="K36" s="1605">
        <f t="shared" si="2"/>
        <v>50014.996650000001</v>
      </c>
      <c r="L36" s="1571"/>
      <c r="M36" s="1572"/>
      <c r="N36" s="1570">
        <f>SUM(N22:N35)</f>
        <v>1490</v>
      </c>
      <c r="O36" s="1597">
        <f>SUM(O22:O35)</f>
        <v>51504.996650000001</v>
      </c>
      <c r="P36" s="7"/>
    </row>
    <row r="37" spans="2:16" ht="9" customHeight="1" thickBot="1" x14ac:dyDescent="0.3">
      <c r="B37" s="930"/>
      <c r="C37" s="10"/>
      <c r="D37" s="10"/>
      <c r="E37" s="10"/>
      <c r="F37" s="10"/>
      <c r="G37" s="10"/>
      <c r="H37" s="10"/>
      <c r="I37" s="10"/>
      <c r="J37" s="10"/>
      <c r="K37" s="10"/>
      <c r="L37" s="10"/>
      <c r="M37" s="931"/>
      <c r="N37" s="931"/>
      <c r="O37" s="931"/>
      <c r="P37" s="932"/>
    </row>
  </sheetData>
  <sheetProtection password="9F6B" sheet="1" objects="1" scenarios="1" formatCells="0" formatColumns="0" formatRows="0"/>
  <mergeCells count="13">
    <mergeCell ref="M20:M21"/>
    <mergeCell ref="N20:N21"/>
    <mergeCell ref="O20:O21"/>
    <mergeCell ref="C13:O13"/>
    <mergeCell ref="M19:N19"/>
    <mergeCell ref="D20:D21"/>
    <mergeCell ref="E20:E21"/>
    <mergeCell ref="F20:F21"/>
    <mergeCell ref="G20:G21"/>
    <mergeCell ref="H20:H21"/>
    <mergeCell ref="I20:I21"/>
    <mergeCell ref="J20:J21"/>
    <mergeCell ref="K20:K21"/>
  </mergeCells>
  <pageMargins left="0.7" right="0.7" top="0.75" bottom="0.75" header="0.3" footer="0.3"/>
  <pageSetup scale="99" orientation="landscape" r:id="rId1"/>
  <headerFooter>
    <oddFooter>&amp;LForm 2B(b)
Square Footage Details&amp;CCFA Forms&amp;REdition: 2015
Version: 1.1</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0:N144"/>
  <sheetViews>
    <sheetView showGridLines="0" zoomScaleNormal="100" zoomScalePageLayoutView="70" workbookViewId="0">
      <selection activeCell="H68" sqref="H68"/>
    </sheetView>
  </sheetViews>
  <sheetFormatPr defaultColWidth="9.140625" defaultRowHeight="15" x14ac:dyDescent="0.25"/>
  <cols>
    <col min="1" max="2" width="1.7109375" style="943" customWidth="1"/>
    <col min="3" max="3" width="14.28515625" style="943" customWidth="1"/>
    <col min="4" max="4" width="16.28515625" style="943" customWidth="1"/>
    <col min="5" max="5" width="4" style="943" customWidth="1"/>
    <col min="6" max="6" width="43.7109375" style="943" customWidth="1"/>
    <col min="7" max="7" width="32.7109375" style="943" bestFit="1" customWidth="1"/>
    <col min="8" max="8" width="8.42578125" style="943" bestFit="1" customWidth="1"/>
    <col min="9" max="9" width="3.28515625" style="943" hidden="1" customWidth="1"/>
    <col min="10" max="11" width="1.7109375" style="943" customWidth="1"/>
    <col min="12" max="16384" width="9.140625" style="943"/>
  </cols>
  <sheetData>
    <row r="10" spans="2:14" ht="6.75" customHeight="1" x14ac:dyDescent="0.25"/>
    <row r="11" spans="2:14" ht="6.75" customHeight="1" thickBot="1" x14ac:dyDescent="0.3"/>
    <row r="12" spans="2:14" s="937" customFormat="1" ht="7.5" customHeight="1" x14ac:dyDescent="0.25">
      <c r="B12" s="933"/>
      <c r="C12" s="934"/>
      <c r="D12" s="934"/>
      <c r="E12" s="934"/>
      <c r="F12" s="934"/>
      <c r="G12" s="934"/>
      <c r="H12" s="934"/>
      <c r="I12" s="934"/>
      <c r="J12" s="935"/>
    </row>
    <row r="13" spans="2:14" s="937" customFormat="1" ht="18.75" x14ac:dyDescent="0.3">
      <c r="B13" s="936"/>
      <c r="C13" s="2148" t="s">
        <v>1399</v>
      </c>
      <c r="D13" s="2148"/>
      <c r="E13" s="2148"/>
      <c r="F13" s="2148"/>
      <c r="G13" s="2148"/>
      <c r="H13" s="2148"/>
      <c r="J13" s="938"/>
    </row>
    <row r="14" spans="2:14" s="937" customFormat="1" ht="15.75" thickBot="1" x14ac:dyDescent="0.3">
      <c r="B14" s="936"/>
      <c r="J14" s="938"/>
    </row>
    <row r="15" spans="2:14" s="937" customFormat="1" ht="15" customHeight="1" thickBot="1" x14ac:dyDescent="0.3">
      <c r="B15" s="936"/>
      <c r="C15" s="937" t="s">
        <v>1</v>
      </c>
      <c r="D15" s="2149" t="str">
        <f>IF('1A'!G5="","Enter Project Name on Form 1A",'1A'!G5)</f>
        <v>University District Apartments</v>
      </c>
      <c r="E15" s="2149"/>
      <c r="F15" s="2149"/>
      <c r="G15" s="939" t="s">
        <v>1259</v>
      </c>
      <c r="H15" s="940">
        <f>H143</f>
        <v>64</v>
      </c>
      <c r="I15" s="1123"/>
      <c r="J15" s="1198"/>
      <c r="K15" s="1123"/>
      <c r="L15" s="1123"/>
      <c r="M15" s="1123"/>
      <c r="N15" s="1123"/>
    </row>
    <row r="16" spans="2:14" s="937" customFormat="1" ht="7.5" customHeight="1" x14ac:dyDescent="0.25">
      <c r="B16" s="936"/>
      <c r="C16" s="941"/>
      <c r="D16" s="941"/>
      <c r="F16" s="941"/>
      <c r="G16" s="941"/>
      <c r="J16" s="938"/>
    </row>
    <row r="17" spans="2:14" s="937" customFormat="1" ht="15" customHeight="1" x14ac:dyDescent="0.25">
      <c r="B17" s="936"/>
      <c r="C17" s="1827" t="s">
        <v>1397</v>
      </c>
      <c r="D17" s="2149" t="str">
        <f>IF('1A'!G29="","Enter Site Name on Form 1A",'1A'!G29)</f>
        <v>Project A-  4%</v>
      </c>
      <c r="E17" s="2149"/>
      <c r="F17" s="2149"/>
      <c r="G17" s="1856"/>
      <c r="I17" s="1123"/>
      <c r="J17" s="1198"/>
      <c r="K17" s="1123"/>
      <c r="L17" s="1123"/>
      <c r="M17" s="1123"/>
      <c r="N17" s="1123"/>
    </row>
    <row r="18" spans="2:14" s="937" customFormat="1" ht="7.5" customHeight="1" x14ac:dyDescent="0.25">
      <c r="B18" s="936"/>
      <c r="C18" s="941"/>
      <c r="D18" s="941"/>
      <c r="F18" s="941"/>
      <c r="G18" s="941"/>
      <c r="J18" s="938"/>
    </row>
    <row r="19" spans="2:14" x14ac:dyDescent="0.25">
      <c r="B19" s="936"/>
      <c r="C19" s="942" t="s">
        <v>1222</v>
      </c>
      <c r="D19" s="1742" t="s">
        <v>1349</v>
      </c>
      <c r="E19" s="937"/>
      <c r="F19" s="942"/>
      <c r="I19" s="942"/>
      <c r="J19" s="944"/>
    </row>
    <row r="20" spans="2:14" ht="3.75" customHeight="1" x14ac:dyDescent="0.25">
      <c r="B20" s="936"/>
      <c r="C20" s="942"/>
      <c r="D20" s="945"/>
      <c r="E20" s="937"/>
      <c r="F20" s="942"/>
      <c r="G20" s="942"/>
      <c r="H20" s="942"/>
      <c r="I20" s="942"/>
      <c r="J20" s="944"/>
    </row>
    <row r="21" spans="2:14" x14ac:dyDescent="0.25">
      <c r="B21" s="936"/>
      <c r="C21" s="942" t="s">
        <v>1223</v>
      </c>
      <c r="D21" s="1808" t="s">
        <v>29</v>
      </c>
      <c r="E21" s="1809"/>
      <c r="G21" s="946"/>
      <c r="H21" s="947"/>
      <c r="I21" s="942"/>
      <c r="J21" s="944"/>
    </row>
    <row r="22" spans="2:14" ht="3.75" customHeight="1" x14ac:dyDescent="0.25">
      <c r="B22" s="936"/>
      <c r="C22" s="942"/>
      <c r="D22" s="942"/>
      <c r="E22" s="948"/>
      <c r="F22" s="942"/>
      <c r="G22" s="946"/>
      <c r="H22" s="947"/>
      <c r="I22" s="942"/>
      <c r="J22" s="944"/>
    </row>
    <row r="23" spans="2:14" x14ac:dyDescent="0.25">
      <c r="B23" s="936"/>
      <c r="C23" s="949" t="s">
        <v>1211</v>
      </c>
      <c r="D23" s="949"/>
      <c r="E23" s="949"/>
      <c r="F23" s="949"/>
      <c r="I23" s="937"/>
      <c r="J23" s="938"/>
    </row>
    <row r="24" spans="2:14" x14ac:dyDescent="0.25">
      <c r="B24" s="936"/>
      <c r="C24" s="1606" t="s">
        <v>1230</v>
      </c>
      <c r="D24" s="1607" t="s">
        <v>1231</v>
      </c>
      <c r="E24" s="1608"/>
      <c r="F24" s="1608"/>
      <c r="G24" s="1609" t="s">
        <v>1099</v>
      </c>
      <c r="H24" s="1610" t="s">
        <v>1098</v>
      </c>
      <c r="I24" s="937"/>
      <c r="J24" s="938"/>
      <c r="N24" s="1208"/>
    </row>
    <row r="25" spans="2:14" x14ac:dyDescent="0.25">
      <c r="B25" s="936"/>
      <c r="C25" s="955">
        <v>1.1000000000000001</v>
      </c>
      <c r="D25" s="2150" t="s">
        <v>1210</v>
      </c>
      <c r="E25" s="2151"/>
      <c r="F25" s="2152"/>
      <c r="G25" s="1810" t="str">
        <f t="array" ref="G25">IFERROR(INDEX('ESDS-Lookup-Table'!B1:B469,MATCH(1,('ESDS-Lookup-Table'!A1:A469=C25)*('ESDS-Lookup-Table'!C1:C469=D19)*('ESDS-Lookup-Table'!D1:D469=D21),0)),"Select Region and Activity")</f>
        <v>Mandatory</v>
      </c>
      <c r="H25" s="791" t="s">
        <v>1441</v>
      </c>
      <c r="I25" s="937">
        <f>N(H25)</f>
        <v>0</v>
      </c>
      <c r="J25" s="938"/>
    </row>
    <row r="26" spans="2:14" x14ac:dyDescent="0.25">
      <c r="B26" s="936"/>
      <c r="C26" s="957">
        <v>1.2</v>
      </c>
      <c r="D26" s="2153" t="s">
        <v>1209</v>
      </c>
      <c r="E26" s="2154"/>
      <c r="F26" s="2155"/>
      <c r="G26" s="1811" t="str">
        <f t="array" ref="G26">IFERROR(INDEX('ESDS-Lookup-Table'!B1:B469,MATCH(1,('ESDS-Lookup-Table'!A1:A469=C26)*('ESDS-Lookup-Table'!C1:C469=D19)*('ESDS-Lookup-Table'!D1:D469=D21),0)),"Select Region and Activity")</f>
        <v>0 to 3</v>
      </c>
      <c r="H26" s="791" t="s">
        <v>1441</v>
      </c>
      <c r="I26" s="937">
        <f>N(H26)</f>
        <v>0</v>
      </c>
      <c r="J26" s="938"/>
    </row>
    <row r="27" spans="2:14" x14ac:dyDescent="0.25">
      <c r="B27" s="936"/>
      <c r="C27" s="959" t="s">
        <v>34</v>
      </c>
      <c r="D27" s="960"/>
      <c r="E27" s="961"/>
      <c r="F27" s="961"/>
      <c r="G27" s="962" t="s">
        <v>1208</v>
      </c>
      <c r="H27" s="963">
        <f>SUM(I25:I26)</f>
        <v>0</v>
      </c>
      <c r="I27" s="937"/>
      <c r="J27" s="938"/>
    </row>
    <row r="28" spans="2:14" s="937" customFormat="1" ht="7.5" customHeight="1" x14ac:dyDescent="0.25">
      <c r="B28" s="936"/>
      <c r="C28" s="964"/>
      <c r="D28" s="964"/>
      <c r="E28" s="964"/>
      <c r="F28" s="964"/>
      <c r="G28" s="965"/>
      <c r="H28" s="966"/>
      <c r="J28" s="938"/>
      <c r="M28" s="943"/>
    </row>
    <row r="29" spans="2:14" s="937" customFormat="1" x14ac:dyDescent="0.25">
      <c r="B29" s="936"/>
      <c r="C29" s="1464" t="s">
        <v>1207</v>
      </c>
      <c r="D29" s="1464"/>
      <c r="E29" s="1464"/>
      <c r="F29" s="1464"/>
      <c r="G29" s="965"/>
      <c r="J29" s="938"/>
      <c r="M29" s="943"/>
    </row>
    <row r="30" spans="2:14" x14ac:dyDescent="0.25">
      <c r="B30" s="936"/>
      <c r="C30" s="1606" t="s">
        <v>1230</v>
      </c>
      <c r="D30" s="1607" t="s">
        <v>1231</v>
      </c>
      <c r="E30" s="1608"/>
      <c r="F30" s="1608"/>
      <c r="G30" s="1609" t="s">
        <v>1099</v>
      </c>
      <c r="H30" s="1610" t="s">
        <v>1098</v>
      </c>
      <c r="I30" s="937"/>
      <c r="J30" s="938"/>
    </row>
    <row r="31" spans="2:14" x14ac:dyDescent="0.25">
      <c r="B31" s="936"/>
      <c r="C31" s="967">
        <v>2.1</v>
      </c>
      <c r="D31" s="2156" t="s">
        <v>1206</v>
      </c>
      <c r="E31" s="2157"/>
      <c r="F31" s="2158"/>
      <c r="G31" s="821" t="str">
        <f t="array" ref="G31">IFERROR(INDEX('ESDS-Lookup-Table'!$B$1:$B$469,MATCH(1,('ESDS-Lookup-Table'!$A$1:$A$469=C31)*('ESDS-Lookup-Table'!$C$1:$C$469=$D$19)*('ESDS-Lookup-Table'!$D$1:$D$469=$D$21),0)),"Select Region and Activity")</f>
        <v>Mandatory</v>
      </c>
      <c r="H31" s="791" t="s">
        <v>1441</v>
      </c>
      <c r="I31" s="937">
        <f t="shared" ref="I31:I41" si="0">N(H31)</f>
        <v>0</v>
      </c>
      <c r="J31" s="938"/>
    </row>
    <row r="32" spans="2:14" x14ac:dyDescent="0.25">
      <c r="B32" s="936"/>
      <c r="C32" s="968">
        <v>2.2000000000000002</v>
      </c>
      <c r="D32" s="2159" t="s">
        <v>1205</v>
      </c>
      <c r="E32" s="2160"/>
      <c r="F32" s="2161"/>
      <c r="G32" s="1812" t="str">
        <f t="array" ref="G32">IFERROR(INDEX('ESDS-Lookup-Table'!$B$1:$B$469,MATCH(1,('ESDS-Lookup-Table'!$A$1:$A$469=C32)*('ESDS-Lookup-Table'!$C$1:$C$469=$D$19)*('ESDS-Lookup-Table'!$D$1:$D$469=$D$21),0)),"Select Region and Activity")</f>
        <v>Mandatory</v>
      </c>
      <c r="H32" s="791" t="s">
        <v>1441</v>
      </c>
      <c r="I32" s="937">
        <f t="shared" si="0"/>
        <v>0</v>
      </c>
      <c r="J32" s="970"/>
    </row>
    <row r="33" spans="2:13" x14ac:dyDescent="0.25">
      <c r="B33" s="936"/>
      <c r="C33" s="968">
        <v>2.2999999999999998</v>
      </c>
      <c r="D33" s="2162" t="s">
        <v>1204</v>
      </c>
      <c r="E33" s="2160"/>
      <c r="F33" s="2161"/>
      <c r="G33" s="1812" t="str">
        <f t="array" ref="G33">IFERROR(INDEX('ESDS-Lookup-Table'!$B$1:$B$469,MATCH(1,('ESDS-Lookup-Table'!$A$1:$A$469=C33)*('ESDS-Lookup-Table'!$C$1:$C$469=$D$19)*('ESDS-Lookup-Table'!$D$1:$D$469=$D$21),0)),"Select Region and Activity")</f>
        <v>Mandatory</v>
      </c>
      <c r="H33" s="791" t="s">
        <v>1441</v>
      </c>
      <c r="I33" s="937">
        <f t="shared" si="0"/>
        <v>0</v>
      </c>
      <c r="J33" s="938"/>
    </row>
    <row r="34" spans="2:13" x14ac:dyDescent="0.25">
      <c r="B34" s="936"/>
      <c r="C34" s="968">
        <v>2.4</v>
      </c>
      <c r="D34" s="2159" t="s">
        <v>1203</v>
      </c>
      <c r="E34" s="2160"/>
      <c r="F34" s="2161"/>
      <c r="G34" s="1812" t="str">
        <f t="array" ref="G34">IFERROR(INDEX('ESDS-Lookup-Table'!$B$1:$B$469,MATCH(1,('ESDS-Lookup-Table'!$A$1:$A$469=C34)*('ESDS-Lookup-Table'!$C$1:$C$469=$D$19)*('ESDS-Lookup-Table'!$D$1:$D$469=$D$21),0)),"Select Region and Activity")</f>
        <v>0 or 5</v>
      </c>
      <c r="H34" s="791">
        <v>5</v>
      </c>
      <c r="I34" s="937">
        <f t="shared" si="0"/>
        <v>5</v>
      </c>
      <c r="J34" s="938"/>
    </row>
    <row r="35" spans="2:13" ht="15" customHeight="1" x14ac:dyDescent="0.25">
      <c r="B35" s="936"/>
      <c r="C35" s="968">
        <v>2.5</v>
      </c>
      <c r="D35" s="2159" t="s">
        <v>1202</v>
      </c>
      <c r="E35" s="2160"/>
      <c r="F35" s="2161"/>
      <c r="G35" s="1812" t="str">
        <f t="array" ref="G35">IFERROR(INDEX('ESDS-Lookup-Table'!$B$1:$B$469,MATCH(1,('ESDS-Lookup-Table'!$A$1:$A$469=C35)*('ESDS-Lookup-Table'!$C$1:$C$469=$D$19)*('ESDS-Lookup-Table'!$D$1:$D$469=$D$21),0)),"Select Region and Activity")</f>
        <v>Mandatory and optional 5</v>
      </c>
      <c r="H35" s="791">
        <v>5</v>
      </c>
      <c r="I35" s="937">
        <f t="shared" si="0"/>
        <v>5</v>
      </c>
      <c r="J35" s="938"/>
    </row>
    <row r="36" spans="2:13" x14ac:dyDescent="0.25">
      <c r="B36" s="936"/>
      <c r="C36" s="968">
        <v>2.6</v>
      </c>
      <c r="D36" s="2159" t="s">
        <v>1201</v>
      </c>
      <c r="E36" s="2160"/>
      <c r="F36" s="2161"/>
      <c r="G36" s="1812" t="str">
        <f t="array" ref="G36">IFERROR(INDEX('ESDS-Lookup-Table'!$B$1:$B$469,MATCH(1,('ESDS-Lookup-Table'!$A$1:$A$469=C36)*('ESDS-Lookup-Table'!$C$1:$C$469=$D$19)*('ESDS-Lookup-Table'!$D$1:$D$469=$D$21),0)),"Select Region and Activity")</f>
        <v>0 or 3</v>
      </c>
      <c r="H36" s="791">
        <v>3</v>
      </c>
      <c r="I36" s="937">
        <f t="shared" si="0"/>
        <v>3</v>
      </c>
      <c r="J36" s="938"/>
    </row>
    <row r="37" spans="2:13" x14ac:dyDescent="0.25">
      <c r="B37" s="936"/>
      <c r="C37" s="971" t="s">
        <v>1219</v>
      </c>
      <c r="D37" s="2162" t="s">
        <v>1218</v>
      </c>
      <c r="E37" s="2160"/>
      <c r="F37" s="2161"/>
      <c r="G37" s="1812" t="str">
        <f t="array" ref="G37">IFERROR(INDEX('ESDS-Lookup-Table'!$B$1:$B$469,MATCH(1,('ESDS-Lookup-Table'!$A$1:$A$469=C37)*('ESDS-Lookup-Table'!$C$1:$C$469=$D$19)*('ESDS-Lookup-Table'!$D$1:$D$469=$D$21),0)),"Select Region and Activity")</f>
        <v>Mandatory</v>
      </c>
      <c r="H37" s="791" t="s">
        <v>1441</v>
      </c>
      <c r="I37" s="937">
        <f t="shared" si="0"/>
        <v>0</v>
      </c>
      <c r="J37" s="938"/>
    </row>
    <row r="38" spans="2:13" s="1813" customFormat="1" x14ac:dyDescent="0.25">
      <c r="B38" s="972"/>
      <c r="C38" s="968" t="s">
        <v>1200</v>
      </c>
      <c r="D38" s="2145" t="s">
        <v>1199</v>
      </c>
      <c r="E38" s="2146"/>
      <c r="F38" s="2147"/>
      <c r="G38" s="1812" t="str">
        <f t="array" ref="G38">IFERROR(INDEX('ESDS-Lookup-Table'!$B$1:$B$469,MATCH(1,('ESDS-Lookup-Table'!$A$1:$A$469=C38)*('ESDS-Lookup-Table'!$C$1:$C$469=$D$19)*('ESDS-Lookup-Table'!$D$1:$D$469=$D$21),0)),"Select Region and Activity")</f>
        <v>n/a (3 or 5 if Tribal)</v>
      </c>
      <c r="H38" s="791" t="s">
        <v>1356</v>
      </c>
      <c r="I38" s="937">
        <f t="shared" si="0"/>
        <v>0</v>
      </c>
      <c r="J38" s="973"/>
    </row>
    <row r="39" spans="2:13" x14ac:dyDescent="0.25">
      <c r="B39" s="936"/>
      <c r="C39" s="968">
        <v>2.8</v>
      </c>
      <c r="D39" s="2159" t="s">
        <v>1198</v>
      </c>
      <c r="E39" s="2160"/>
      <c r="F39" s="2161"/>
      <c r="G39" s="1812" t="str">
        <f t="array" ref="G39">IFERROR(INDEX('ESDS-Lookup-Table'!$B$1:$B$469,MATCH(1,('ESDS-Lookup-Table'!$A$1:$A$469=C39)*('ESDS-Lookup-Table'!$C$1:$C$469=$D$19)*('ESDS-Lookup-Table'!$D$1:$D$469=$D$21),0)),"Select Region and Activity")</f>
        <v>0, 2, 4, 6 or 7</v>
      </c>
      <c r="H39" s="791">
        <v>0</v>
      </c>
      <c r="I39" s="937">
        <f t="shared" si="0"/>
        <v>0</v>
      </c>
      <c r="J39" s="938"/>
    </row>
    <row r="40" spans="2:13" x14ac:dyDescent="0.25">
      <c r="B40" s="936"/>
      <c r="C40" s="968">
        <v>2.9</v>
      </c>
      <c r="D40" s="2159" t="s">
        <v>1197</v>
      </c>
      <c r="E40" s="2160"/>
      <c r="F40" s="2161"/>
      <c r="G40" s="1812" t="str">
        <f t="array" ref="G40">IFERROR(INDEX('ESDS-Lookup-Table'!$B$1:$B$469,MATCH(1,('ESDS-Lookup-Table'!$A$1:$A$469=C40)*('ESDS-Lookup-Table'!$C$1:$C$469=$D$19)*('ESDS-Lookup-Table'!$D$1:$D$469=$D$21),0)),"Select Region and Activity")</f>
        <v>0 or 10</v>
      </c>
      <c r="H40" s="791">
        <v>0</v>
      </c>
      <c r="I40" s="937">
        <f t="shared" si="0"/>
        <v>0</v>
      </c>
      <c r="J40" s="938"/>
    </row>
    <row r="41" spans="2:13" x14ac:dyDescent="0.25">
      <c r="B41" s="936"/>
      <c r="C41" s="974" t="s">
        <v>1196</v>
      </c>
      <c r="D41" s="2164" t="s">
        <v>1195</v>
      </c>
      <c r="E41" s="2165"/>
      <c r="F41" s="2166"/>
      <c r="G41" s="821" t="str">
        <f t="array" ref="G41">IFERROR(INDEX('ESDS-Lookup-Table'!$B$1:$B$469,MATCH(1,('ESDS-Lookup-Table'!$A$1:$A$469=C41)*('ESDS-Lookup-Table'!$C$1:$C$469=$D$19)*('ESDS-Lookup-Table'!$D$1:$D$469=$D$21),0)),"Select Region and Activity")</f>
        <v>0 or 3</v>
      </c>
      <c r="H41" s="791">
        <v>3</v>
      </c>
      <c r="I41" s="937">
        <f t="shared" si="0"/>
        <v>3</v>
      </c>
      <c r="J41" s="938"/>
    </row>
    <row r="42" spans="2:13" x14ac:dyDescent="0.25">
      <c r="B42" s="936"/>
      <c r="C42" s="959" t="s">
        <v>34</v>
      </c>
      <c r="D42" s="960"/>
      <c r="E42" s="961"/>
      <c r="F42" s="961"/>
      <c r="G42" s="962" t="s">
        <v>1194</v>
      </c>
      <c r="H42" s="963">
        <f>SUM(I31:I41)</f>
        <v>16</v>
      </c>
      <c r="I42" s="937"/>
      <c r="J42" s="938"/>
    </row>
    <row r="43" spans="2:13" s="937" customFormat="1" ht="7.5" customHeight="1" x14ac:dyDescent="0.25">
      <c r="B43" s="936"/>
      <c r="C43" s="964"/>
      <c r="D43" s="966"/>
      <c r="E43" s="964"/>
      <c r="F43" s="964"/>
      <c r="G43" s="965"/>
      <c r="H43" s="966"/>
      <c r="J43" s="938"/>
      <c r="M43" s="943"/>
    </row>
    <row r="44" spans="2:13" s="937" customFormat="1" x14ac:dyDescent="0.25">
      <c r="B44" s="936"/>
      <c r="C44" s="1464" t="s">
        <v>1193</v>
      </c>
      <c r="E44" s="1464"/>
      <c r="F44" s="1464"/>
      <c r="G44" s="965"/>
      <c r="J44" s="938"/>
      <c r="M44" s="943"/>
    </row>
    <row r="45" spans="2:13" x14ac:dyDescent="0.25">
      <c r="B45" s="936"/>
      <c r="C45" s="1606" t="s">
        <v>1230</v>
      </c>
      <c r="D45" s="1607" t="s">
        <v>1231</v>
      </c>
      <c r="E45" s="1608"/>
      <c r="F45" s="1608"/>
      <c r="G45" s="1609" t="s">
        <v>1099</v>
      </c>
      <c r="H45" s="1610" t="s">
        <v>1098</v>
      </c>
      <c r="I45" s="937"/>
      <c r="J45" s="938"/>
    </row>
    <row r="46" spans="2:13" x14ac:dyDescent="0.25">
      <c r="B46" s="936"/>
      <c r="C46" s="967" t="s">
        <v>1192</v>
      </c>
      <c r="D46" s="2156" t="s">
        <v>1191</v>
      </c>
      <c r="E46" s="2157"/>
      <c r="F46" s="2158"/>
      <c r="G46" s="821" t="str">
        <f t="array" ref="G46">IFERROR(INDEX('ESDS-Lookup-Table'!$B$1:$B$469,MATCH(1,('ESDS-Lookup-Table'!$A$1:$A$469=C46)*('ESDS-Lookup-Table'!$C$1:$C$469=$D$19)*('ESDS-Lookup-Table'!$D$1:$D$469=$D$21),0)),"Select Region and Activity")</f>
        <v>Mandatory</v>
      </c>
      <c r="H46" s="791" t="s">
        <v>1441</v>
      </c>
      <c r="I46" s="937">
        <f t="shared" ref="I46:I53" si="1">N(H46)</f>
        <v>0</v>
      </c>
      <c r="J46" s="938"/>
    </row>
    <row r="47" spans="2:13" x14ac:dyDescent="0.25">
      <c r="B47" s="936"/>
      <c r="C47" s="968" t="s">
        <v>1190</v>
      </c>
      <c r="D47" s="2159" t="s">
        <v>1189</v>
      </c>
      <c r="E47" s="2160"/>
      <c r="F47" s="2161"/>
      <c r="G47" s="1812" t="str">
        <f t="array" ref="G47">IFERROR(INDEX('ESDS-Lookup-Table'!$B$1:$B$469,MATCH(1,('ESDS-Lookup-Table'!$A$1:$A$469=C47)*('ESDS-Lookup-Table'!$C$1:$C$469=$D$19)*('ESDS-Lookup-Table'!$D$1:$D$469=$D$21),0)),"Select Region and Activity")</f>
        <v>Mandatory</v>
      </c>
      <c r="H47" s="791" t="s">
        <v>1441</v>
      </c>
      <c r="I47" s="937">
        <f t="shared" si="1"/>
        <v>0</v>
      </c>
      <c r="J47" s="938"/>
    </row>
    <row r="48" spans="2:13" ht="15" customHeight="1" x14ac:dyDescent="0.25">
      <c r="B48" s="936"/>
      <c r="C48" s="968" t="s">
        <v>1188</v>
      </c>
      <c r="D48" s="2159" t="s">
        <v>438</v>
      </c>
      <c r="E48" s="2160"/>
      <c r="F48" s="2161"/>
      <c r="G48" s="1812" t="str">
        <f t="array" ref="G48">IFERROR(INDEX('ESDS-Lookup-Table'!$B$1:$B$469,MATCH(1,('ESDS-Lookup-Table'!$A$1:$A$469=C48)*('ESDS-Lookup-Table'!$C$1:$C$469=$D$19)*('ESDS-Lookup-Table'!$D$1:$D$469=$D$21),0)),"Select Region and Activity")</f>
        <v>Mandatory if providing Landscaping</v>
      </c>
      <c r="H48" s="791" t="s">
        <v>1441</v>
      </c>
      <c r="I48" s="937">
        <f t="shared" si="1"/>
        <v>0</v>
      </c>
      <c r="J48" s="938"/>
    </row>
    <row r="49" spans="1:11" x14ac:dyDescent="0.25">
      <c r="B49" s="936"/>
      <c r="C49" s="968" t="s">
        <v>1186</v>
      </c>
      <c r="D49" s="2159" t="s">
        <v>438</v>
      </c>
      <c r="E49" s="2160"/>
      <c r="F49" s="2161"/>
      <c r="G49" s="1812" t="str">
        <f t="array" ref="G49">IFERROR(INDEX('ESDS-Lookup-Table'!$B$1:$B$469,MATCH(1,('ESDS-Lookup-Table'!$A$1:$A$469=C49)*('ESDS-Lookup-Table'!$C$1:$C$469=$D$19)*('ESDS-Lookup-Table'!$D$1:$D$469=$D$21),0)),"Select Region and Activity")</f>
        <v>0 or 5</v>
      </c>
      <c r="H49" s="791">
        <v>5</v>
      </c>
      <c r="I49" s="937">
        <f t="shared" si="1"/>
        <v>5</v>
      </c>
      <c r="J49" s="938"/>
    </row>
    <row r="50" spans="1:11" x14ac:dyDescent="0.25">
      <c r="B50" s="936"/>
      <c r="C50" s="968" t="s">
        <v>1185</v>
      </c>
      <c r="D50" s="2159" t="s">
        <v>1184</v>
      </c>
      <c r="E50" s="2160"/>
      <c r="F50" s="2161"/>
      <c r="G50" s="1812" t="str">
        <f t="array" ref="G50">IFERROR(INDEX('ESDS-Lookup-Table'!$B$1:$B$469,MATCH(1,('ESDS-Lookup-Table'!$A$1:$A$469=C50)*('ESDS-Lookup-Table'!$C$1:$C$469=$D$19)*('ESDS-Lookup-Table'!$D$1:$D$469=$D$21),0)),"Select Region and Activity")</f>
        <v>0, 1 to 5</v>
      </c>
      <c r="H50" s="791">
        <v>4</v>
      </c>
      <c r="I50" s="937">
        <f t="shared" si="1"/>
        <v>4</v>
      </c>
      <c r="J50" s="938"/>
    </row>
    <row r="51" spans="1:11" ht="15" customHeight="1" x14ac:dyDescent="0.25">
      <c r="B51" s="936"/>
      <c r="C51" s="968" t="s">
        <v>1183</v>
      </c>
      <c r="D51" s="2159" t="s">
        <v>1182</v>
      </c>
      <c r="E51" s="2160"/>
      <c r="F51" s="2161"/>
      <c r="G51" s="1812" t="str">
        <f t="array" ref="G51">IFERROR(INDEX('ESDS-Lookup-Table'!$B$1:$B$469,MATCH(1,('ESDS-Lookup-Table'!$A$1:$A$469=C51)*('ESDS-Lookup-Table'!$C$1:$C$469=$D$19)*('ESDS-Lookup-Table'!$D$1:$D$469=$D$21),0)),"Select Region and Activity")</f>
        <v>Mandatory if irrigation is utilized</v>
      </c>
      <c r="H51" s="791" t="s">
        <v>1441</v>
      </c>
      <c r="I51" s="937">
        <f t="shared" si="1"/>
        <v>0</v>
      </c>
      <c r="J51" s="938"/>
    </row>
    <row r="52" spans="1:11" x14ac:dyDescent="0.25">
      <c r="B52" s="936"/>
      <c r="C52" s="968" t="s">
        <v>1180</v>
      </c>
      <c r="D52" s="2159" t="s">
        <v>1179</v>
      </c>
      <c r="E52" s="2160"/>
      <c r="F52" s="2161"/>
      <c r="G52" s="1812" t="str">
        <f t="array" ref="G52">IFERROR(INDEX('ESDS-Lookup-Table'!$B$1:$B$469,MATCH(1,('ESDS-Lookup-Table'!$A$1:$A$469=C52)*('ESDS-Lookup-Table'!$C$1:$C$469=$D$19)*('ESDS-Lookup-Table'!$D$1:$D$469=$D$21),0)),"Select Region and Activity")</f>
        <v>0, 1, 2, 4 or 6</v>
      </c>
      <c r="H52" s="791">
        <v>0</v>
      </c>
      <c r="I52" s="937">
        <f t="shared" si="1"/>
        <v>0</v>
      </c>
      <c r="J52" s="938"/>
    </row>
    <row r="53" spans="1:11" x14ac:dyDescent="0.25">
      <c r="B53" s="936"/>
      <c r="C53" s="968" t="s">
        <v>1178</v>
      </c>
      <c r="D53" s="2164" t="s">
        <v>1177</v>
      </c>
      <c r="E53" s="2165"/>
      <c r="F53" s="2166"/>
      <c r="G53" s="821" t="str">
        <f t="array" ref="G53">IFERROR(INDEX('ESDS-Lookup-Table'!$B$1:$B$469,MATCH(1,('ESDS-Lookup-Table'!$A$1:$A$469=C53)*('ESDS-Lookup-Table'!$C$1:$C$469=$D$19)*('ESDS-Lookup-Table'!$D$1:$D$469=$D$21),0)),"Select Region and Activity")</f>
        <v>Mandatory</v>
      </c>
      <c r="H53" s="791" t="s">
        <v>1441</v>
      </c>
      <c r="I53" s="937">
        <f t="shared" si="1"/>
        <v>0</v>
      </c>
      <c r="J53" s="938"/>
    </row>
    <row r="54" spans="1:11" x14ac:dyDescent="0.25">
      <c r="A54" s="937"/>
      <c r="B54" s="936"/>
      <c r="C54" s="959" t="s">
        <v>34</v>
      </c>
      <c r="D54" s="960"/>
      <c r="E54" s="961"/>
      <c r="F54" s="961"/>
      <c r="G54" s="962" t="s">
        <v>1176</v>
      </c>
      <c r="H54" s="963">
        <f>SUM(I46:I53)</f>
        <v>9</v>
      </c>
      <c r="I54" s="937"/>
      <c r="J54" s="938"/>
    </row>
    <row r="55" spans="1:11" ht="7.5" customHeight="1" x14ac:dyDescent="0.25">
      <c r="A55" s="937"/>
      <c r="B55" s="936"/>
      <c r="C55" s="964"/>
      <c r="D55" s="966"/>
      <c r="E55" s="964"/>
      <c r="F55" s="964"/>
      <c r="G55" s="965"/>
      <c r="H55" s="966"/>
      <c r="I55" s="937"/>
      <c r="J55" s="938"/>
    </row>
    <row r="56" spans="1:11" x14ac:dyDescent="0.25">
      <c r="A56" s="937"/>
      <c r="B56" s="936"/>
      <c r="C56" s="1464" t="s">
        <v>1175</v>
      </c>
      <c r="D56" s="937"/>
      <c r="E56" s="1464"/>
      <c r="F56" s="1464"/>
      <c r="G56" s="965"/>
      <c r="H56" s="937"/>
      <c r="I56" s="937"/>
      <c r="J56" s="938"/>
    </row>
    <row r="57" spans="1:11" x14ac:dyDescent="0.25">
      <c r="A57" s="937"/>
      <c r="B57" s="936"/>
      <c r="C57" s="950" t="s">
        <v>1230</v>
      </c>
      <c r="D57" s="951" t="s">
        <v>1231</v>
      </c>
      <c r="E57" s="952"/>
      <c r="F57" s="952"/>
      <c r="G57" s="953" t="s">
        <v>1099</v>
      </c>
      <c r="H57" s="954" t="s">
        <v>1098</v>
      </c>
      <c r="I57" s="937"/>
      <c r="J57" s="938"/>
    </row>
    <row r="58" spans="1:11" x14ac:dyDescent="0.25">
      <c r="A58" s="937"/>
      <c r="B58" s="936"/>
      <c r="C58" s="976" t="s">
        <v>1174</v>
      </c>
      <c r="D58" s="2163" t="s">
        <v>1221</v>
      </c>
      <c r="E58" s="2157"/>
      <c r="F58" s="2158"/>
      <c r="G58" s="821" t="str">
        <f t="array" ref="G58">IFERROR(INDEX('ESDS-Lookup-Table'!$B$1:$B$469,MATCH(1,('ESDS-Lookup-Table'!$A$1:$A$469=C58)*('ESDS-Lookup-Table'!$C$1:$C$469=$D$19)*('ESDS-Lookup-Table'!$D$1:$D$469=$D$21),0)),"Select Region and Activity")</f>
        <v>Mandatory</v>
      </c>
      <c r="H58" s="791" t="s">
        <v>1441</v>
      </c>
      <c r="I58" s="937">
        <f>N(H58)</f>
        <v>0</v>
      </c>
      <c r="J58" s="938"/>
    </row>
    <row r="59" spans="1:11" x14ac:dyDescent="0.25">
      <c r="A59" s="937"/>
      <c r="B59" s="936"/>
      <c r="C59" s="978" t="s">
        <v>1173</v>
      </c>
      <c r="D59" s="2170" t="s">
        <v>1220</v>
      </c>
      <c r="E59" s="2160"/>
      <c r="F59" s="2161"/>
      <c r="G59" s="1812" t="str">
        <f t="array" ref="G59">IFERROR(INDEX('ESDS-Lookup-Table'!$B$1:$B$469,MATCH(1,('ESDS-Lookup-Table'!$A$1:$A$469=C59)*('ESDS-Lookup-Table'!$C$1:$C$469=$D$19)*('ESDS-Lookup-Table'!$D$1:$D$469=$D$21),0)),"Select Region and Activity")</f>
        <v>0, 1, 2, 4 or 6</v>
      </c>
      <c r="H59" s="791">
        <v>5</v>
      </c>
      <c r="I59" s="937">
        <f>N(H59)</f>
        <v>5</v>
      </c>
      <c r="J59" s="938"/>
    </row>
    <row r="60" spans="1:11" x14ac:dyDescent="0.25">
      <c r="A60" s="937"/>
      <c r="B60" s="936"/>
      <c r="C60" s="978" t="s">
        <v>1172</v>
      </c>
      <c r="D60" s="2171" t="s">
        <v>1171</v>
      </c>
      <c r="E60" s="2165"/>
      <c r="F60" s="2166"/>
      <c r="G60" s="821" t="str">
        <f t="array" ref="G60">IFERROR(INDEX('ESDS-Lookup-Table'!$B$1:$B$469,MATCH(1,('ESDS-Lookup-Table'!$A$1:$A$469=C60)*('ESDS-Lookup-Table'!$C$1:$C$469=$D$19)*('ESDS-Lookup-Table'!$D$1:$D$469=$D$21),0)),"Select Region and Activity")</f>
        <v>0, 4, 6 or 8</v>
      </c>
      <c r="H60" s="791">
        <v>0</v>
      </c>
      <c r="I60" s="937">
        <f>N(H60)</f>
        <v>0</v>
      </c>
      <c r="J60" s="938"/>
    </row>
    <row r="61" spans="1:11" x14ac:dyDescent="0.25">
      <c r="A61" s="937"/>
      <c r="B61" s="981"/>
      <c r="C61" s="959" t="s">
        <v>34</v>
      </c>
      <c r="D61" s="960"/>
      <c r="E61" s="961"/>
      <c r="F61" s="961"/>
      <c r="G61" s="962" t="s">
        <v>1170</v>
      </c>
      <c r="H61" s="963">
        <f>SUM(I58:I60)</f>
        <v>5</v>
      </c>
      <c r="I61" s="937"/>
      <c r="J61" s="938"/>
    </row>
    <row r="62" spans="1:11" ht="7.5" customHeight="1" x14ac:dyDescent="0.25">
      <c r="A62" s="937"/>
      <c r="B62" s="981"/>
      <c r="C62" s="964"/>
      <c r="D62" s="966"/>
      <c r="E62" s="964"/>
      <c r="F62" s="964"/>
      <c r="G62" s="965"/>
      <c r="H62" s="966"/>
      <c r="I62" s="937"/>
      <c r="J62" s="938"/>
    </row>
    <row r="63" spans="1:11" ht="7.5" customHeight="1" x14ac:dyDescent="0.25">
      <c r="A63" s="937"/>
      <c r="B63" s="981"/>
      <c r="C63" s="982"/>
      <c r="D63" s="937"/>
      <c r="E63" s="982"/>
      <c r="F63" s="982"/>
      <c r="G63" s="965"/>
      <c r="H63" s="937"/>
      <c r="I63" s="937"/>
      <c r="J63" s="938"/>
      <c r="K63" s="937"/>
    </row>
    <row r="64" spans="1:11" x14ac:dyDescent="0.25">
      <c r="A64" s="937"/>
      <c r="B64" s="981"/>
      <c r="C64" s="983" t="s">
        <v>1169</v>
      </c>
      <c r="D64" s="937"/>
      <c r="E64" s="983"/>
      <c r="F64" s="983"/>
      <c r="G64" s="965"/>
      <c r="H64" s="937"/>
      <c r="I64" s="937"/>
      <c r="J64" s="938"/>
    </row>
    <row r="65" spans="1:10" x14ac:dyDescent="0.25">
      <c r="A65" s="937"/>
      <c r="B65" s="936"/>
      <c r="C65" s="1606" t="s">
        <v>1230</v>
      </c>
      <c r="D65" s="1607" t="s">
        <v>1231</v>
      </c>
      <c r="E65" s="1608"/>
      <c r="F65" s="1608"/>
      <c r="G65" s="1609" t="s">
        <v>1099</v>
      </c>
      <c r="H65" s="1610" t="s">
        <v>1098</v>
      </c>
      <c r="I65" s="937"/>
      <c r="J65" s="938"/>
    </row>
    <row r="66" spans="1:10" x14ac:dyDescent="0.25">
      <c r="A66" s="937"/>
      <c r="B66" s="936"/>
      <c r="C66" s="984" t="s">
        <v>1168</v>
      </c>
      <c r="D66" s="2172" t="s">
        <v>1217</v>
      </c>
      <c r="E66" s="2173"/>
      <c r="F66" s="2174"/>
      <c r="G66" s="821" t="str">
        <f t="array" ref="G66">IFERROR(INDEX('ESDS-Lookup-Table'!$B$1:$B$469,MATCH(1,('ESDS-Lookup-Table'!$A$1:$A$469=C66)*('ESDS-Lookup-Table'!$C$1:$C$469=$D$19)*('ESDS-Lookup-Table'!$D$1:$D$469=$D$21),0)),"Select Region and Activity")</f>
        <v>Mandatory</v>
      </c>
      <c r="H66" s="791" t="s">
        <v>1441</v>
      </c>
      <c r="I66" s="937">
        <f t="shared" ref="I66:I83" si="2">N(H66)</f>
        <v>0</v>
      </c>
      <c r="J66" s="938"/>
    </row>
    <row r="67" spans="1:10" x14ac:dyDescent="0.25">
      <c r="A67" s="937"/>
      <c r="B67" s="936"/>
      <c r="C67" s="986" t="s">
        <v>1212</v>
      </c>
      <c r="D67" s="2175" t="s">
        <v>1224</v>
      </c>
      <c r="E67" s="2176"/>
      <c r="F67" s="2177"/>
      <c r="G67" s="1814" t="str">
        <f t="array" ref="G67">IFERROR(INDEX('ESDS-Lookup-Table'!$B$1:$B$469,MATCH(1,('ESDS-Lookup-Table'!$A$1:$A$469=C67)*('ESDS-Lookup-Table'!$C$1:$C$469=$D$19)*('ESDS-Lookup-Table'!$D$1:$D$469=$D$21),0)),"Select Region and Activity")</f>
        <v>n/a</v>
      </c>
      <c r="H67" s="791" t="s">
        <v>1356</v>
      </c>
      <c r="I67" s="937">
        <f t="shared" si="2"/>
        <v>0</v>
      </c>
      <c r="J67" s="970"/>
    </row>
    <row r="68" spans="1:10" ht="15" customHeight="1" x14ac:dyDescent="0.25">
      <c r="B68" s="936"/>
      <c r="C68" s="988" t="s">
        <v>1167</v>
      </c>
      <c r="D68" s="2175" t="s">
        <v>1249</v>
      </c>
      <c r="E68" s="2176"/>
      <c r="F68" s="2177"/>
      <c r="G68" s="1814" t="str">
        <f t="array" ref="G68">IFERROR(INDEX('ESDS-Lookup-Table'!$B$1:$B$469,MATCH(1,('ESDS-Lookup-Table'!$A$1:$A$469=C68)*('ESDS-Lookup-Table'!$C$1:$C$469=$D$19)*('ESDS-Lookup-Table'!$D$1:$D$469=$D$21),0)),"Select Region and Activity")</f>
        <v>0, 5 or 10, or 5, 7, 9, 12 or 15</v>
      </c>
      <c r="H68" s="791">
        <v>0</v>
      </c>
      <c r="I68" s="937">
        <f t="shared" si="2"/>
        <v>0</v>
      </c>
      <c r="J68" s="938"/>
    </row>
    <row r="69" spans="1:10" ht="15" customHeight="1" x14ac:dyDescent="0.25">
      <c r="B69" s="936"/>
      <c r="C69" s="986" t="s">
        <v>1213</v>
      </c>
      <c r="D69" s="2175" t="s">
        <v>1252</v>
      </c>
      <c r="E69" s="2176"/>
      <c r="F69" s="2177"/>
      <c r="G69" s="1814" t="str">
        <f t="array" ref="G69">IFERROR(INDEX('ESDS-Lookup-Table'!$B$1:$B$469,MATCH(1,('ESDS-Lookup-Table'!$A$1:$A$469=C69)*('ESDS-Lookup-Table'!$C$1:$C$469=$D$19)*('ESDS-Lookup-Table'!$D$1:$D$469=$D$21),0)),"Select Region and Activity")</f>
        <v>n/a</v>
      </c>
      <c r="H69" s="791" t="s">
        <v>1356</v>
      </c>
      <c r="I69" s="937">
        <f t="shared" si="2"/>
        <v>0</v>
      </c>
      <c r="J69" s="938"/>
    </row>
    <row r="70" spans="1:10" x14ac:dyDescent="0.25">
      <c r="B70" s="936"/>
      <c r="C70" s="988" t="s">
        <v>1166</v>
      </c>
      <c r="D70" s="2170" t="s">
        <v>1165</v>
      </c>
      <c r="E70" s="2160"/>
      <c r="F70" s="2178"/>
      <c r="G70" s="1814" t="str">
        <f t="array" ref="G70">IFERROR(INDEX('ESDS-Lookup-Table'!$B$1:$B$469,MATCH(1,('ESDS-Lookup-Table'!$A$1:$A$469=C70)*('ESDS-Lookup-Table'!$C$1:$C$469=$D$19)*('ESDS-Lookup-Table'!$D$1:$D$469=$D$21),0)),"Select Region and Activity")</f>
        <v>Mandatory</v>
      </c>
      <c r="H70" s="791" t="s">
        <v>1441</v>
      </c>
      <c r="I70" s="937">
        <f t="shared" si="2"/>
        <v>0</v>
      </c>
      <c r="J70" s="938"/>
    </row>
    <row r="71" spans="1:10" ht="15" customHeight="1" x14ac:dyDescent="0.25">
      <c r="B71" s="936"/>
      <c r="C71" s="988" t="s">
        <v>1164</v>
      </c>
      <c r="D71" s="2170" t="s">
        <v>1163</v>
      </c>
      <c r="E71" s="2160"/>
      <c r="F71" s="2178"/>
      <c r="G71" s="1814" t="str">
        <f t="array" ref="G71">IFERROR(INDEX('ESDS-Lookup-Table'!$B$1:$B$469,MATCH(1,('ESDS-Lookup-Table'!$A$1:$A$469=C71)*('ESDS-Lookup-Table'!$C$1:$C$469=$D$19)*('ESDS-Lookup-Table'!$D$1:$D$469=$D$21),0)),"Select Region and Activity")</f>
        <v>Mandatory if providing appliances</v>
      </c>
      <c r="H71" s="791" t="s">
        <v>1441</v>
      </c>
      <c r="I71" s="937">
        <f t="shared" si="2"/>
        <v>0</v>
      </c>
      <c r="J71" s="938"/>
    </row>
    <row r="72" spans="1:10" x14ac:dyDescent="0.25">
      <c r="B72" s="936"/>
      <c r="C72" s="988" t="s">
        <v>1161</v>
      </c>
      <c r="D72" s="2170" t="s">
        <v>1160</v>
      </c>
      <c r="E72" s="2160"/>
      <c r="F72" s="2178"/>
      <c r="G72" s="1814" t="str">
        <f t="array" ref="G72">IFERROR(INDEX('ESDS-Lookup-Table'!$B$1:$B$469,MATCH(1,('ESDS-Lookup-Table'!$A$1:$A$469=C72)*('ESDS-Lookup-Table'!$C$1:$C$469=$D$19)*('ESDS-Lookup-Table'!$D$1:$D$469=$D$21),0)),"Select Region and Activity")</f>
        <v>0 or 3</v>
      </c>
      <c r="H72" s="791">
        <v>3</v>
      </c>
      <c r="I72" s="937">
        <f t="shared" si="2"/>
        <v>3</v>
      </c>
      <c r="J72" s="938"/>
    </row>
    <row r="73" spans="1:10" x14ac:dyDescent="0.25">
      <c r="B73" s="936"/>
      <c r="C73" s="988" t="s">
        <v>1159</v>
      </c>
      <c r="D73" s="2170" t="s">
        <v>1158</v>
      </c>
      <c r="E73" s="2160"/>
      <c r="F73" s="2178"/>
      <c r="G73" s="1814" t="str">
        <f t="array" ref="G73">IFERROR(INDEX('ESDS-Lookup-Table'!$B$1:$B$469,MATCH(1,('ESDS-Lookup-Table'!$A$1:$A$469=C73)*('ESDS-Lookup-Table'!$C$1:$C$469=$D$19)*('ESDS-Lookup-Table'!$D$1:$D$469=$D$21),0)),"Select Region and Activity")</f>
        <v>Mandatory</v>
      </c>
      <c r="H73" s="791" t="s">
        <v>1441</v>
      </c>
      <c r="I73" s="937">
        <f t="shared" si="2"/>
        <v>0</v>
      </c>
      <c r="J73" s="938"/>
    </row>
    <row r="74" spans="1:10" x14ac:dyDescent="0.25">
      <c r="B74" s="936"/>
      <c r="C74" s="988" t="s">
        <v>1157</v>
      </c>
      <c r="D74" s="2175" t="s">
        <v>1250</v>
      </c>
      <c r="E74" s="2176"/>
      <c r="F74" s="2177"/>
      <c r="G74" s="1814" t="str">
        <f t="array" ref="G74">IFERROR(INDEX('ESDS-Lookup-Table'!$B$1:$B$469,MATCH(1,('ESDS-Lookup-Table'!$A$1:$A$469=C74)*('ESDS-Lookup-Table'!$C$1:$C$469=$D$19)*('ESDS-Lookup-Table'!$D$1:$D$469=$D$21),0)),"Select Region and Activity")</f>
        <v>Mandatory</v>
      </c>
      <c r="H74" s="791" t="s">
        <v>1441</v>
      </c>
      <c r="I74" s="937">
        <f t="shared" si="2"/>
        <v>0</v>
      </c>
      <c r="J74" s="938"/>
    </row>
    <row r="75" spans="1:10" x14ac:dyDescent="0.25">
      <c r="B75" s="936"/>
      <c r="C75" s="986" t="s">
        <v>1214</v>
      </c>
      <c r="D75" s="2167" t="s">
        <v>1251</v>
      </c>
      <c r="E75" s="2168"/>
      <c r="F75" s="2169"/>
      <c r="G75" s="1814" t="str">
        <f t="array" ref="G75">IFERROR(INDEX('ESDS-Lookup-Table'!$B$1:$B$469,MATCH(1,('ESDS-Lookup-Table'!$A$1:$A$469=C75)*('ESDS-Lookup-Table'!$C$1:$C$469=$D$19)*('ESDS-Lookup-Table'!$D$1:$D$469=$D$21),0)),"Select Region and Activity")</f>
        <v>n/a</v>
      </c>
      <c r="H75" s="791" t="s">
        <v>1356</v>
      </c>
      <c r="I75" s="937">
        <f t="shared" si="2"/>
        <v>0</v>
      </c>
      <c r="J75" s="938"/>
    </row>
    <row r="76" spans="1:10" x14ac:dyDescent="0.25">
      <c r="B76" s="936"/>
      <c r="C76" s="988" t="s">
        <v>1156</v>
      </c>
      <c r="D76" s="2175" t="s">
        <v>1253</v>
      </c>
      <c r="E76" s="2160"/>
      <c r="F76" s="2178"/>
      <c r="G76" s="1814" t="str">
        <f t="array" ref="G76">IFERROR(INDEX('ESDS-Lookup-Table'!$B$1:$B$469,MATCH(1,('ESDS-Lookup-Table'!$A$1:$A$469=C76)*('ESDS-Lookup-Table'!$C$1:$C$469=$D$19)*('ESDS-Lookup-Table'!$D$1:$D$469=$D$21),0)),"Select Region and Activity")</f>
        <v>0, 0.5 to 5</v>
      </c>
      <c r="H76" s="791">
        <v>0</v>
      </c>
      <c r="I76" s="937">
        <f t="shared" si="2"/>
        <v>0</v>
      </c>
      <c r="J76" s="938"/>
    </row>
    <row r="77" spans="1:10" x14ac:dyDescent="0.25">
      <c r="B77" s="936"/>
      <c r="C77" s="988" t="s">
        <v>1155</v>
      </c>
      <c r="D77" s="2170" t="s">
        <v>1154</v>
      </c>
      <c r="E77" s="2160"/>
      <c r="F77" s="2178"/>
      <c r="G77" s="1814" t="str">
        <f t="array" ref="G77">IFERROR(INDEX('ESDS-Lookup-Table'!$B$1:$B$469,MATCH(1,('ESDS-Lookup-Table'!$A$1:$A$469=C77)*('ESDS-Lookup-Table'!$C$1:$C$469=$D$19)*('ESDS-Lookup-Table'!$D$1:$D$469=$D$21),0)),"Select Region and Activity")</f>
        <v>0 or 1</v>
      </c>
      <c r="H77" s="791">
        <v>0</v>
      </c>
      <c r="I77" s="937">
        <f t="shared" si="2"/>
        <v>0</v>
      </c>
      <c r="J77" s="938"/>
    </row>
    <row r="78" spans="1:10" x14ac:dyDescent="0.25">
      <c r="B78" s="936"/>
      <c r="C78" s="988" t="s">
        <v>1153</v>
      </c>
      <c r="D78" s="2175" t="s">
        <v>1254</v>
      </c>
      <c r="E78" s="2160"/>
      <c r="F78" s="2178"/>
      <c r="G78" s="1814" t="str">
        <f t="array" ref="G78">IFERROR(INDEX('ESDS-Lookup-Table'!$B$1:$B$469,MATCH(1,('ESDS-Lookup-Table'!$A$1:$A$469=C78)*('ESDS-Lookup-Table'!$C$1:$C$469=$D$19)*('ESDS-Lookup-Table'!$D$1:$D$469=$D$21),0)),"Select Region and Activity")</f>
        <v>0, 1 to 10</v>
      </c>
      <c r="H78" s="791">
        <v>0</v>
      </c>
      <c r="I78" s="937">
        <f t="shared" si="2"/>
        <v>0</v>
      </c>
      <c r="J78" s="938"/>
    </row>
    <row r="79" spans="1:10" x14ac:dyDescent="0.25">
      <c r="B79" s="936"/>
      <c r="C79" s="988" t="s">
        <v>1152</v>
      </c>
      <c r="D79" s="2170" t="s">
        <v>1151</v>
      </c>
      <c r="E79" s="2160"/>
      <c r="F79" s="2178"/>
      <c r="G79" s="1814" t="str">
        <f t="array" ref="G79">IFERROR(INDEX('ESDS-Lookup-Table'!$B$1:$B$469,MATCH(1,('ESDS-Lookup-Table'!$A$1:$A$469=C79)*('ESDS-Lookup-Table'!$C$1:$C$469=$D$19)*('ESDS-Lookup-Table'!$D$1:$D$469=$D$21),0)),"Select Region and Activity")</f>
        <v>Mandatory</v>
      </c>
      <c r="H79" s="791" t="s">
        <v>1441</v>
      </c>
      <c r="I79" s="937">
        <f t="shared" si="2"/>
        <v>0</v>
      </c>
      <c r="J79" s="938"/>
    </row>
    <row r="80" spans="1:10" x14ac:dyDescent="0.25">
      <c r="B80" s="936"/>
      <c r="C80" s="988" t="s">
        <v>1150</v>
      </c>
      <c r="D80" s="2175" t="s">
        <v>1255</v>
      </c>
      <c r="E80" s="2160"/>
      <c r="F80" s="2178"/>
      <c r="G80" s="1814" t="str">
        <f t="array" ref="G80">IFERROR(INDEX('ESDS-Lookup-Table'!$B$1:$B$469,MATCH(1,('ESDS-Lookup-Table'!$A$1:$A$469=C80)*('ESDS-Lookup-Table'!$C$1:$C$469=$D$19)*('ESDS-Lookup-Table'!$D$1:$D$469=$D$21),0)),"Select Region and Activity")</f>
        <v>0, 2, 3 or 5</v>
      </c>
      <c r="H80" s="791">
        <v>5</v>
      </c>
      <c r="I80" s="937">
        <f t="shared" si="2"/>
        <v>5</v>
      </c>
      <c r="J80" s="938"/>
    </row>
    <row r="81" spans="2:13" x14ac:dyDescent="0.25">
      <c r="B81" s="936"/>
      <c r="C81" s="988">
        <v>5.1100000000000003</v>
      </c>
      <c r="D81" s="2179" t="s">
        <v>1256</v>
      </c>
      <c r="E81" s="2180"/>
      <c r="F81" s="2181"/>
      <c r="G81" s="1814" t="str">
        <f t="array" ref="G81">IFERROR(INDEX('ESDS-Lookup-Table'!$B$1:$B$469,MATCH(1,('ESDS-Lookup-Table'!$A$1:$A$469=C81)*('ESDS-Lookup-Table'!$C$1:$C$469=$D$19)*('ESDS-Lookup-Table'!$D$1:$D$469=$D$21),0)),"Select Region and Activity")</f>
        <v>n/a</v>
      </c>
      <c r="H81" s="791"/>
      <c r="I81" s="937">
        <f t="shared" si="2"/>
        <v>0</v>
      </c>
      <c r="J81" s="938"/>
    </row>
    <row r="82" spans="2:13" x14ac:dyDescent="0.25">
      <c r="B82" s="936"/>
      <c r="C82" s="988">
        <v>5.12</v>
      </c>
      <c r="D82" s="2182" t="s">
        <v>1257</v>
      </c>
      <c r="E82" s="2183"/>
      <c r="F82" s="2184"/>
      <c r="G82" s="1814" t="str">
        <f t="array" ref="G82">IFERROR(INDEX('ESDS-Lookup-Table'!$B$1:$B$469,MATCH(1,('ESDS-Lookup-Table'!$A$1:$A$469=C82)*('ESDS-Lookup-Table'!$C$1:$C$469=$D$19)*('ESDS-Lookup-Table'!$D$1:$D$469=$D$21),0)),"Select Region and Activity")</f>
        <v>n/a</v>
      </c>
      <c r="H82" s="791"/>
      <c r="I82" s="937">
        <f t="shared" si="2"/>
        <v>0</v>
      </c>
      <c r="J82" s="938"/>
    </row>
    <row r="83" spans="2:13" x14ac:dyDescent="0.25">
      <c r="B83" s="936"/>
      <c r="C83" s="990">
        <v>5.13</v>
      </c>
      <c r="D83" s="2185" t="s">
        <v>1258</v>
      </c>
      <c r="E83" s="2186"/>
      <c r="F83" s="2187"/>
      <c r="G83" s="821" t="str">
        <f t="array" ref="G83">IFERROR(INDEX('ESDS-Lookup-Table'!$B$1:$B$469,MATCH(1,('ESDS-Lookup-Table'!$A$1:$A$469=C83)*('ESDS-Lookup-Table'!$C$1:$C$469=$D$19)*('ESDS-Lookup-Table'!$D$1:$D$469=$D$21),0)),"Select Region and Activity")</f>
        <v>n/a</v>
      </c>
      <c r="H83" s="791"/>
      <c r="I83" s="937">
        <f t="shared" si="2"/>
        <v>0</v>
      </c>
      <c r="J83" s="938"/>
    </row>
    <row r="84" spans="2:13" x14ac:dyDescent="0.25">
      <c r="B84" s="936"/>
      <c r="C84" s="959" t="s">
        <v>34</v>
      </c>
      <c r="D84" s="960"/>
      <c r="E84" s="961"/>
      <c r="F84" s="961"/>
      <c r="G84" s="962" t="s">
        <v>1149</v>
      </c>
      <c r="H84" s="963">
        <f>SUM(I66:I83)</f>
        <v>8</v>
      </c>
      <c r="I84" s="937"/>
      <c r="J84" s="938"/>
    </row>
    <row r="85" spans="2:13" s="937" customFormat="1" ht="9" customHeight="1" thickBot="1" x14ac:dyDescent="0.3">
      <c r="B85" s="992"/>
      <c r="C85" s="993"/>
      <c r="D85" s="994"/>
      <c r="E85" s="993"/>
      <c r="F85" s="993"/>
      <c r="G85" s="995"/>
      <c r="H85" s="994"/>
      <c r="I85" s="994"/>
      <c r="J85" s="996"/>
      <c r="M85" s="943"/>
    </row>
    <row r="86" spans="2:13" s="937" customFormat="1" ht="26.25" customHeight="1" x14ac:dyDescent="0.25">
      <c r="B86" s="933"/>
      <c r="C86" s="997" t="s">
        <v>1148</v>
      </c>
      <c r="D86" s="934"/>
      <c r="E86" s="997"/>
      <c r="F86" s="997"/>
      <c r="G86" s="998"/>
      <c r="H86" s="934"/>
      <c r="I86" s="934"/>
      <c r="J86" s="935"/>
      <c r="M86" s="943"/>
    </row>
    <row r="87" spans="2:13" x14ac:dyDescent="0.25">
      <c r="B87" s="936"/>
      <c r="C87" s="1606" t="s">
        <v>1230</v>
      </c>
      <c r="D87" s="1607" t="s">
        <v>1231</v>
      </c>
      <c r="E87" s="1608"/>
      <c r="F87" s="1608"/>
      <c r="G87" s="1609" t="s">
        <v>1099</v>
      </c>
      <c r="H87" s="1610" t="s">
        <v>1098</v>
      </c>
      <c r="I87" s="937"/>
      <c r="J87" s="938"/>
      <c r="M87" s="821"/>
    </row>
    <row r="88" spans="2:13" x14ac:dyDescent="0.25">
      <c r="B88" s="936"/>
      <c r="C88" s="984" t="s">
        <v>1147</v>
      </c>
      <c r="D88" s="2163" t="s">
        <v>1146</v>
      </c>
      <c r="E88" s="2157"/>
      <c r="F88" s="2188"/>
      <c r="G88" s="821" t="str">
        <f t="array" ref="G88">IFERROR(INDEX('ESDS-Lookup-Table'!$B$1:$B$469,MATCH(1,('ESDS-Lookup-Table'!$A$1:$A$469=C88)*('ESDS-Lookup-Table'!$C$1:$C$469=$D$19)*('ESDS-Lookup-Table'!$D$1:$D$469=$D$21),0)),"Select Region and Activity")</f>
        <v>Mandatory</v>
      </c>
      <c r="H88" s="791" t="s">
        <v>1441</v>
      </c>
      <c r="I88" s="937">
        <f t="shared" ref="I88:I96" si="3">N(H88)</f>
        <v>0</v>
      </c>
      <c r="J88" s="938"/>
    </row>
    <row r="89" spans="2:13" x14ac:dyDescent="0.25">
      <c r="B89" s="936"/>
      <c r="C89" s="988" t="s">
        <v>1145</v>
      </c>
      <c r="D89" s="2170" t="s">
        <v>1144</v>
      </c>
      <c r="E89" s="2160"/>
      <c r="F89" s="2178"/>
      <c r="G89" s="1814" t="str">
        <f t="array" ref="G89">IFERROR(INDEX('ESDS-Lookup-Table'!$B$1:$B$469,MATCH(1,('ESDS-Lookup-Table'!$A$1:$A$469=C89)*('ESDS-Lookup-Table'!$C$1:$C$469=$D$19)*('ESDS-Lookup-Table'!$D$1:$D$469=$D$21),0)),"Select Region and Activity")</f>
        <v>Mandatory</v>
      </c>
      <c r="H89" s="791" t="s">
        <v>1441</v>
      </c>
      <c r="I89" s="937">
        <f t="shared" si="3"/>
        <v>0</v>
      </c>
      <c r="J89" s="938"/>
    </row>
    <row r="90" spans="2:13" x14ac:dyDescent="0.25">
      <c r="B90" s="936"/>
      <c r="C90" s="988" t="s">
        <v>1143</v>
      </c>
      <c r="D90" s="2170" t="s">
        <v>1142</v>
      </c>
      <c r="E90" s="2160"/>
      <c r="F90" s="2178"/>
      <c r="G90" s="1814" t="str">
        <f t="array" ref="G90">IFERROR(INDEX('ESDS-Lookup-Table'!$B$1:$B$469,MATCH(1,('ESDS-Lookup-Table'!$A$1:$A$469=C90)*('ESDS-Lookup-Table'!$C$1:$C$469=$D$19)*('ESDS-Lookup-Table'!$D$1:$D$469=$D$21),0)),"Select Region and Activity")</f>
        <v>0, 1 to 5</v>
      </c>
      <c r="H90" s="791">
        <v>2</v>
      </c>
      <c r="I90" s="937">
        <f t="shared" si="3"/>
        <v>2</v>
      </c>
      <c r="J90" s="938"/>
    </row>
    <row r="91" spans="2:13" x14ac:dyDescent="0.25">
      <c r="B91" s="936"/>
      <c r="C91" s="988" t="s">
        <v>1141</v>
      </c>
      <c r="D91" s="2170" t="s">
        <v>1140</v>
      </c>
      <c r="E91" s="2160"/>
      <c r="F91" s="2178"/>
      <c r="G91" s="1814" t="str">
        <f t="array" ref="G91">IFERROR(INDEX('ESDS-Lookup-Table'!$B$1:$B$469,MATCH(1,('ESDS-Lookup-Table'!$A$1:$A$469=C91)*('ESDS-Lookup-Table'!$C$1:$C$469=$D$19)*('ESDS-Lookup-Table'!$D$1:$D$469=$D$21),0)),"Select Region and Activity")</f>
        <v>0, 0.5 to 10</v>
      </c>
      <c r="H91" s="791">
        <v>2</v>
      </c>
      <c r="I91" s="937">
        <f t="shared" si="3"/>
        <v>2</v>
      </c>
      <c r="J91" s="938"/>
    </row>
    <row r="92" spans="2:13" x14ac:dyDescent="0.25">
      <c r="B92" s="936"/>
      <c r="C92" s="988" t="s">
        <v>1139</v>
      </c>
      <c r="D92" s="2170" t="s">
        <v>1138</v>
      </c>
      <c r="E92" s="2160"/>
      <c r="F92" s="2178"/>
      <c r="G92" s="1814" t="str">
        <f t="array" ref="G92">IFERROR(INDEX('ESDS-Lookup-Table'!$B$1:$B$469,MATCH(1,('ESDS-Lookup-Table'!$A$1:$A$469=C92)*('ESDS-Lookup-Table'!$C$1:$C$469=$D$19)*('ESDS-Lookup-Table'!$D$1:$D$469=$D$21),0)),"Select Region and Activity")</f>
        <v>0, 1 to 5</v>
      </c>
      <c r="H92" s="791">
        <v>0</v>
      </c>
      <c r="I92" s="937">
        <f t="shared" si="3"/>
        <v>0</v>
      </c>
      <c r="J92" s="938"/>
    </row>
    <row r="93" spans="2:13" x14ac:dyDescent="0.25">
      <c r="B93" s="936"/>
      <c r="C93" s="988" t="s">
        <v>1137</v>
      </c>
      <c r="D93" s="2170" t="s">
        <v>1136</v>
      </c>
      <c r="E93" s="2160"/>
      <c r="F93" s="2178"/>
      <c r="G93" s="1814" t="str">
        <f t="array" ref="G93">IFERROR(INDEX('ESDS-Lookup-Table'!$B$1:$B$469,MATCH(1,('ESDS-Lookup-Table'!$A$1:$A$469=C93)*('ESDS-Lookup-Table'!$C$1:$C$469=$D$19)*('ESDS-Lookup-Table'!$D$1:$D$469=$D$21),0)),"Select Region and Activity")</f>
        <v>0, 1 to 5</v>
      </c>
      <c r="H93" s="791">
        <v>0</v>
      </c>
      <c r="I93" s="937">
        <f t="shared" si="3"/>
        <v>0</v>
      </c>
      <c r="J93" s="938"/>
    </row>
    <row r="94" spans="2:13" x14ac:dyDescent="0.25">
      <c r="B94" s="936"/>
      <c r="C94" s="988" t="s">
        <v>1135</v>
      </c>
      <c r="D94" s="2170" t="s">
        <v>1134</v>
      </c>
      <c r="E94" s="2160"/>
      <c r="F94" s="2178"/>
      <c r="G94" s="1814" t="str">
        <f t="array" ref="G94">IFERROR(INDEX('ESDS-Lookup-Table'!$B$1:$B$469,MATCH(1,('ESDS-Lookup-Table'!$A$1:$A$469=C94)*('ESDS-Lookup-Table'!$C$1:$C$469=$D$19)*('ESDS-Lookup-Table'!$D$1:$D$469=$D$21),0)),"Select Region and Activity")</f>
        <v>0 or 5</v>
      </c>
      <c r="H94" s="791">
        <v>5</v>
      </c>
      <c r="I94" s="937">
        <f t="shared" si="3"/>
        <v>5</v>
      </c>
      <c r="J94" s="938"/>
    </row>
    <row r="95" spans="2:13" x14ac:dyDescent="0.25">
      <c r="B95" s="936"/>
      <c r="C95" s="988" t="s">
        <v>1133</v>
      </c>
      <c r="D95" s="2170" t="s">
        <v>1132</v>
      </c>
      <c r="E95" s="2160"/>
      <c r="F95" s="2178"/>
      <c r="G95" s="1814" t="str">
        <f t="array" ref="G95">IFERROR(INDEX('ESDS-Lookup-Table'!$B$1:$B$469,MATCH(1,('ESDS-Lookup-Table'!$A$1:$A$469=C95)*('ESDS-Lookup-Table'!$C$1:$C$469=$D$19)*('ESDS-Lookup-Table'!$D$1:$D$469=$D$21),0)),"Select Region and Activity")</f>
        <v>0 or 5</v>
      </c>
      <c r="H95" s="791">
        <v>0</v>
      </c>
      <c r="I95" s="937">
        <f t="shared" si="3"/>
        <v>0</v>
      </c>
      <c r="J95" s="938"/>
    </row>
    <row r="96" spans="2:13" x14ac:dyDescent="0.25">
      <c r="B96" s="936"/>
      <c r="C96" s="990" t="s">
        <v>1131</v>
      </c>
      <c r="D96" s="2171" t="s">
        <v>1130</v>
      </c>
      <c r="E96" s="2165"/>
      <c r="F96" s="2189"/>
      <c r="G96" s="821" t="str">
        <f t="array" ref="G96">IFERROR(INDEX('ESDS-Lookup-Table'!$B$1:$B$469,MATCH(1,('ESDS-Lookup-Table'!$A$1:$A$469=C96)*('ESDS-Lookup-Table'!$C$1:$C$469=$D$19)*('ESDS-Lookup-Table'!$D$1:$D$469=$D$21),0)),"Select Region and Activity")</f>
        <v>0, 1, 2 or 3</v>
      </c>
      <c r="H96" s="791">
        <v>0</v>
      </c>
      <c r="I96" s="937">
        <f t="shared" si="3"/>
        <v>0</v>
      </c>
      <c r="J96" s="938"/>
    </row>
    <row r="97" spans="2:14" x14ac:dyDescent="0.25">
      <c r="B97" s="936"/>
      <c r="C97" s="959" t="s">
        <v>34</v>
      </c>
      <c r="D97" s="960"/>
      <c r="E97" s="961"/>
      <c r="F97" s="961"/>
      <c r="G97" s="962" t="s">
        <v>1129</v>
      </c>
      <c r="H97" s="963">
        <f>SUM(I88:I96)</f>
        <v>9</v>
      </c>
      <c r="I97" s="937"/>
      <c r="J97" s="938"/>
      <c r="N97" s="937"/>
    </row>
    <row r="98" spans="2:14" s="937" customFormat="1" ht="7.5" customHeight="1" x14ac:dyDescent="0.25">
      <c r="B98" s="936"/>
      <c r="C98" s="964"/>
      <c r="D98" s="966"/>
      <c r="E98" s="964"/>
      <c r="F98" s="964"/>
      <c r="G98" s="965"/>
      <c r="H98" s="966"/>
      <c r="J98" s="938"/>
      <c r="M98" s="943"/>
    </row>
    <row r="99" spans="2:14" s="937" customFormat="1" ht="7.5" customHeight="1" x14ac:dyDescent="0.25">
      <c r="B99" s="936"/>
      <c r="C99" s="982"/>
      <c r="E99" s="982"/>
      <c r="F99" s="982"/>
      <c r="G99" s="965"/>
      <c r="J99" s="938"/>
      <c r="M99" s="943"/>
    </row>
    <row r="100" spans="2:14" s="937" customFormat="1" x14ac:dyDescent="0.25">
      <c r="B100" s="936"/>
      <c r="C100" s="983" t="s">
        <v>1128</v>
      </c>
      <c r="E100" s="983"/>
      <c r="F100" s="983"/>
      <c r="G100" s="965"/>
      <c r="J100" s="938"/>
      <c r="M100" s="943"/>
    </row>
    <row r="101" spans="2:14" x14ac:dyDescent="0.25">
      <c r="B101" s="936"/>
      <c r="C101" s="1606" t="s">
        <v>1230</v>
      </c>
      <c r="D101" s="1607" t="s">
        <v>1231</v>
      </c>
      <c r="E101" s="1608"/>
      <c r="F101" s="1608"/>
      <c r="G101" s="1609" t="s">
        <v>1099</v>
      </c>
      <c r="H101" s="1610" t="s">
        <v>1098</v>
      </c>
      <c r="I101" s="937"/>
      <c r="J101" s="938"/>
    </row>
    <row r="102" spans="2:14" x14ac:dyDescent="0.25">
      <c r="B102" s="936"/>
      <c r="C102" s="984" t="s">
        <v>1127</v>
      </c>
      <c r="D102" s="2190" t="s">
        <v>1126</v>
      </c>
      <c r="E102" s="2191"/>
      <c r="F102" s="2192"/>
      <c r="G102" s="821" t="str">
        <f t="array" ref="G102">IFERROR(INDEX('ESDS-Lookup-Table'!$B$1:$B$469,MATCH(1,('ESDS-Lookup-Table'!$A$1:$A$469=C102)*('ESDS-Lookup-Table'!$C$1:$C$469=$D$19)*('ESDS-Lookup-Table'!$D$1:$D$469=$D$21),0)),"Select Region and Activity")</f>
        <v>Mandatory</v>
      </c>
      <c r="H102" s="791" t="s">
        <v>1441</v>
      </c>
      <c r="I102" s="937">
        <f t="shared" ref="I102:I123" si="4">N(H102)</f>
        <v>0</v>
      </c>
      <c r="J102" s="938"/>
    </row>
    <row r="103" spans="2:14" ht="15" customHeight="1" x14ac:dyDescent="0.25">
      <c r="B103" s="936"/>
      <c r="C103" s="988" t="s">
        <v>1125</v>
      </c>
      <c r="D103" s="2170" t="s">
        <v>1122</v>
      </c>
      <c r="E103" s="2160"/>
      <c r="F103" s="2178"/>
      <c r="G103" s="1815" t="str">
        <f t="array" ref="G103">IFERROR(INDEX('ESDS-Lookup-Table'!$B$1:$B$469,MATCH(1,('ESDS-Lookup-Table'!$A$1:$A$469=C103)*('ESDS-Lookup-Table'!$C$1:$C$469=$D$19)*('ESDS-Lookup-Table'!$D$1:$D$469=$D$21),0)),"Select Region and Activity")</f>
        <v>Mandatory if providing floor coverings</v>
      </c>
      <c r="H103" s="791" t="s">
        <v>1441</v>
      </c>
      <c r="I103" s="937">
        <f t="shared" si="4"/>
        <v>0</v>
      </c>
      <c r="J103" s="938"/>
    </row>
    <row r="104" spans="2:14" x14ac:dyDescent="0.25">
      <c r="B104" s="936"/>
      <c r="C104" s="988" t="s">
        <v>1123</v>
      </c>
      <c r="D104" s="2170" t="s">
        <v>1122</v>
      </c>
      <c r="E104" s="2160"/>
      <c r="F104" s="2178"/>
      <c r="G104" s="1814" t="str">
        <f t="array" ref="G104">IFERROR(INDEX('ESDS-Lookup-Table'!$B$1:$B$469,MATCH(1,('ESDS-Lookup-Table'!$A$1:$A$469=C104)*('ESDS-Lookup-Table'!$C$1:$C$469=$D$19)*('ESDS-Lookup-Table'!$D$1:$D$469=$D$21),0)),"Select Region and Activity")</f>
        <v>0 or 4</v>
      </c>
      <c r="H104" s="791">
        <v>0</v>
      </c>
      <c r="I104" s="937">
        <f t="shared" si="4"/>
        <v>0</v>
      </c>
      <c r="J104" s="938"/>
    </row>
    <row r="105" spans="2:14" x14ac:dyDescent="0.25">
      <c r="B105" s="936"/>
      <c r="C105" s="988" t="s">
        <v>1121</v>
      </c>
      <c r="D105" s="2175" t="s">
        <v>1225</v>
      </c>
      <c r="E105" s="2176"/>
      <c r="F105" s="2177"/>
      <c r="G105" s="1814" t="str">
        <f t="array" ref="G105">IFERROR(INDEX('ESDS-Lookup-Table'!$B$1:$B$469,MATCH(1,('ESDS-Lookup-Table'!$A$1:$A$469=C105)*('ESDS-Lookup-Table'!$C$1:$C$469=$D$19)*('ESDS-Lookup-Table'!$D$1:$D$469=$D$21),0)),"Select Region and Activity")</f>
        <v>Mandatory</v>
      </c>
      <c r="H105" s="791" t="s">
        <v>1441</v>
      </c>
      <c r="I105" s="937">
        <f t="shared" si="4"/>
        <v>0</v>
      </c>
      <c r="J105" s="938"/>
      <c r="N105" s="814"/>
    </row>
    <row r="106" spans="2:14" x14ac:dyDescent="0.25">
      <c r="B106" s="936"/>
      <c r="C106" s="986" t="s">
        <v>1215</v>
      </c>
      <c r="D106" s="2167" t="s">
        <v>1226</v>
      </c>
      <c r="E106" s="2168"/>
      <c r="F106" s="2169"/>
      <c r="G106" s="1814" t="str">
        <f t="array" ref="G106">IFERROR(INDEX('ESDS-Lookup-Table'!$B$1:$B$469,MATCH(1,('ESDS-Lookup-Table'!$A$1:$A$469=C106)*('ESDS-Lookup-Table'!$C$1:$C$469=$D$19)*('ESDS-Lookup-Table'!$D$1:$D$469=$D$21),0)),"Select Region and Activity")</f>
        <v>n/a</v>
      </c>
      <c r="H106" s="791"/>
      <c r="I106" s="937">
        <f t="shared" si="4"/>
        <v>0</v>
      </c>
      <c r="J106" s="938"/>
      <c r="N106" s="814"/>
    </row>
    <row r="107" spans="2:14" x14ac:dyDescent="0.25">
      <c r="B107" s="936"/>
      <c r="C107" s="988" t="s">
        <v>1120</v>
      </c>
      <c r="D107" s="2175" t="s">
        <v>1227</v>
      </c>
      <c r="E107" s="2176"/>
      <c r="F107" s="2177"/>
      <c r="G107" s="1814" t="str">
        <f t="array" ref="G107">IFERROR(INDEX('ESDS-Lookup-Table'!$B$1:$B$469,MATCH(1,('ESDS-Lookup-Table'!$A$1:$A$469=C107)*('ESDS-Lookup-Table'!$C$1:$C$469=$D$19)*('ESDS-Lookup-Table'!$D$1:$D$469=$D$21),0)),"Select Region and Activity")</f>
        <v>Mandatory</v>
      </c>
      <c r="H107" s="791" t="s">
        <v>1441</v>
      </c>
      <c r="I107" s="937">
        <f t="shared" si="4"/>
        <v>0</v>
      </c>
      <c r="J107" s="938"/>
      <c r="N107" s="814"/>
    </row>
    <row r="108" spans="2:14" x14ac:dyDescent="0.25">
      <c r="B108" s="936"/>
      <c r="C108" s="986" t="s">
        <v>1216</v>
      </c>
      <c r="D108" s="2175" t="s">
        <v>1228</v>
      </c>
      <c r="E108" s="2176"/>
      <c r="F108" s="2177"/>
      <c r="G108" s="1814" t="str">
        <f t="array" ref="G108">IFERROR(INDEX('ESDS-Lookup-Table'!$B$1:$B$469,MATCH(1,('ESDS-Lookup-Table'!$A$1:$A$469=C108)*('ESDS-Lookup-Table'!$C$1:$C$469=$D$19)*('ESDS-Lookup-Table'!$D$1:$D$469=$D$21),0)),"Select Region and Activity")</f>
        <v>n/a</v>
      </c>
      <c r="H108" s="791"/>
      <c r="I108" s="937">
        <f t="shared" si="4"/>
        <v>0</v>
      </c>
      <c r="J108" s="938"/>
      <c r="N108" s="814"/>
    </row>
    <row r="109" spans="2:14" x14ac:dyDescent="0.25">
      <c r="B109" s="936"/>
      <c r="C109" s="988">
        <v>7.5</v>
      </c>
      <c r="D109" s="2170" t="s">
        <v>1119</v>
      </c>
      <c r="E109" s="2160"/>
      <c r="F109" s="2178"/>
      <c r="G109" s="1814" t="str">
        <f t="array" ref="G109">IFERROR(INDEX('ESDS-Lookup-Table'!$B$1:$B$469,MATCH(1,('ESDS-Lookup-Table'!$A$1:$A$469=C109)*('ESDS-Lookup-Table'!$C$1:$C$469=$D$19)*('ESDS-Lookup-Table'!$D$1:$D$469=$D$21),0)),"Select Region and Activity")</f>
        <v>Mandatory</v>
      </c>
      <c r="H109" s="791" t="s">
        <v>1441</v>
      </c>
      <c r="I109" s="937">
        <f t="shared" si="4"/>
        <v>0</v>
      </c>
      <c r="J109" s="938"/>
    </row>
    <row r="110" spans="2:14" x14ac:dyDescent="0.25">
      <c r="B110" s="936"/>
      <c r="C110" s="988">
        <v>7.6</v>
      </c>
      <c r="D110" s="2170" t="s">
        <v>1118</v>
      </c>
      <c r="E110" s="2160"/>
      <c r="F110" s="2178"/>
      <c r="G110" s="1814" t="str">
        <f t="array" ref="G110">IFERROR(INDEX('ESDS-Lookup-Table'!$B$1:$B$469,MATCH(1,('ESDS-Lookup-Table'!$A$1:$A$469=C110)*('ESDS-Lookup-Table'!$C$1:$C$469=$D$19)*('ESDS-Lookup-Table'!$D$1:$D$469=$D$21),0)),"Select Region and Activity")</f>
        <v>Mandatory</v>
      </c>
      <c r="H110" s="791" t="s">
        <v>1441</v>
      </c>
      <c r="I110" s="937">
        <f t="shared" si="4"/>
        <v>0</v>
      </c>
      <c r="J110" s="938"/>
    </row>
    <row r="111" spans="2:14" x14ac:dyDescent="0.25">
      <c r="B111" s="936"/>
      <c r="C111" s="988">
        <v>7.7</v>
      </c>
      <c r="D111" s="2170" t="s">
        <v>1117</v>
      </c>
      <c r="E111" s="2160"/>
      <c r="F111" s="2178"/>
      <c r="G111" s="1814" t="str">
        <f t="array" ref="G111">IFERROR(INDEX('ESDS-Lookup-Table'!$B$1:$B$469,MATCH(1,('ESDS-Lookup-Table'!$A$1:$A$469=C111)*('ESDS-Lookup-Table'!$C$1:$C$469=$D$19)*('ESDS-Lookup-Table'!$D$1:$D$469=$D$21),0)),"Select Region and Activity")</f>
        <v>Mandatory</v>
      </c>
      <c r="H111" s="791" t="s">
        <v>1441</v>
      </c>
      <c r="I111" s="937">
        <f t="shared" si="4"/>
        <v>0</v>
      </c>
      <c r="J111" s="938"/>
    </row>
    <row r="112" spans="2:14" x14ac:dyDescent="0.25">
      <c r="B112" s="936"/>
      <c r="C112" s="988">
        <v>7.8</v>
      </c>
      <c r="D112" s="2170" t="s">
        <v>1116</v>
      </c>
      <c r="E112" s="2160"/>
      <c r="F112" s="2178"/>
      <c r="G112" s="1814" t="str">
        <f t="array" ref="G112">IFERROR(INDEX('ESDS-Lookup-Table'!$B$1:$B$469,MATCH(1,('ESDS-Lookup-Table'!$A$1:$A$469=C112)*('ESDS-Lookup-Table'!$C$1:$C$469=$D$19)*('ESDS-Lookup-Table'!$D$1:$D$469=$D$21),0)),"Select Region and Activity")</f>
        <v>Mandatory</v>
      </c>
      <c r="H112" s="791" t="s">
        <v>1441</v>
      </c>
      <c r="I112" s="937">
        <f t="shared" si="4"/>
        <v>0</v>
      </c>
      <c r="J112" s="938"/>
    </row>
    <row r="113" spans="2:12" s="1816" customFormat="1" x14ac:dyDescent="0.25">
      <c r="B113" s="999"/>
      <c r="C113" s="1000" t="s">
        <v>1115</v>
      </c>
      <c r="D113" s="2193" t="s">
        <v>1229</v>
      </c>
      <c r="E113" s="2146"/>
      <c r="F113" s="2194"/>
      <c r="G113" s="1814" t="str">
        <f t="array" ref="G113">IFERROR(INDEX('ESDS-Lookup-Table'!$B$1:$B$469,MATCH(1,('ESDS-Lookup-Table'!$A$1:$A$469=C113)*('ESDS-Lookup-Table'!$C$1:$C$469=$D$19)*('ESDS-Lookup-Table'!$D$1:$D$469=$D$21),0)),"Select Region and Activity")</f>
        <v>Mandatory</v>
      </c>
      <c r="H113" s="791" t="s">
        <v>1441</v>
      </c>
      <c r="I113" s="937">
        <f t="shared" si="4"/>
        <v>0</v>
      </c>
      <c r="J113" s="1001"/>
      <c r="L113" s="943"/>
    </row>
    <row r="114" spans="2:12" x14ac:dyDescent="0.25">
      <c r="B114" s="936"/>
      <c r="C114" s="988" t="s">
        <v>1114</v>
      </c>
      <c r="D114" s="2170" t="s">
        <v>1113</v>
      </c>
      <c r="E114" s="2160"/>
      <c r="F114" s="2178"/>
      <c r="G114" s="1814" t="str">
        <f t="array" ref="G114">IFERROR(INDEX('ESDS-Lookup-Table'!$B$1:$B$469,MATCH(1,('ESDS-Lookup-Table'!$A$1:$A$469=C114)*('ESDS-Lookup-Table'!$C$1:$C$469=$D$19)*('ESDS-Lookup-Table'!$D$1:$D$469=$D$21),0)),"Select Region and Activity")</f>
        <v>Mandatory</v>
      </c>
      <c r="H114" s="791" t="s">
        <v>1441</v>
      </c>
      <c r="I114" s="937">
        <f t="shared" si="4"/>
        <v>0</v>
      </c>
      <c r="J114" s="938"/>
    </row>
    <row r="115" spans="2:12" x14ac:dyDescent="0.25">
      <c r="B115" s="936"/>
      <c r="C115" s="988" t="s">
        <v>1112</v>
      </c>
      <c r="D115" s="2170" t="s">
        <v>1111</v>
      </c>
      <c r="E115" s="2160"/>
      <c r="F115" s="2178"/>
      <c r="G115" s="1814" t="str">
        <f t="array" ref="G115">IFERROR(INDEX('ESDS-Lookup-Table'!$B$1:$B$469,MATCH(1,('ESDS-Lookup-Table'!$A$1:$A$469=C115)*('ESDS-Lookup-Table'!$C$1:$C$469=$D$19)*('ESDS-Lookup-Table'!$D$1:$D$469=$D$21),0)),"Select Region and Activity")</f>
        <v>Mandatory</v>
      </c>
      <c r="H115" s="791" t="s">
        <v>1441</v>
      </c>
      <c r="I115" s="937">
        <f t="shared" si="4"/>
        <v>0</v>
      </c>
      <c r="J115" s="938"/>
    </row>
    <row r="116" spans="2:12" x14ac:dyDescent="0.25">
      <c r="B116" s="936"/>
      <c r="C116" s="988" t="s">
        <v>1110</v>
      </c>
      <c r="D116" s="2170" t="s">
        <v>1109</v>
      </c>
      <c r="E116" s="2160"/>
      <c r="F116" s="2178"/>
      <c r="G116" s="1814" t="str">
        <f t="array" ref="G116">IFERROR(INDEX('ESDS-Lookup-Table'!$B$1:$B$469,MATCH(1,('ESDS-Lookup-Table'!$A$1:$A$469=C116)*('ESDS-Lookup-Table'!$C$1:$C$469=$D$19)*('ESDS-Lookup-Table'!$D$1:$D$469=$D$21),0)),"Select Region and Activity")</f>
        <v>Mandatory</v>
      </c>
      <c r="H116" s="791" t="s">
        <v>1441</v>
      </c>
      <c r="I116" s="937">
        <f t="shared" si="4"/>
        <v>0</v>
      </c>
      <c r="J116" s="938"/>
    </row>
    <row r="117" spans="2:12" x14ac:dyDescent="0.25">
      <c r="B117" s="936"/>
      <c r="C117" s="988">
        <v>7.11</v>
      </c>
      <c r="D117" s="2170" t="s">
        <v>1108</v>
      </c>
      <c r="E117" s="2160"/>
      <c r="F117" s="2178"/>
      <c r="G117" s="1814" t="str">
        <f t="array" ref="G117">IFERROR(INDEX('ESDS-Lookup-Table'!$B$1:$B$469,MATCH(1,('ESDS-Lookup-Table'!$A$1:$A$469=C117)*('ESDS-Lookup-Table'!$C$1:$C$469=$D$19)*('ESDS-Lookup-Table'!$D$1:$D$469=$D$21),0)),"Select Region and Activity")</f>
        <v>Mandatory</v>
      </c>
      <c r="H117" s="791" t="s">
        <v>1441</v>
      </c>
      <c r="I117" s="937">
        <f t="shared" si="4"/>
        <v>0</v>
      </c>
      <c r="J117" s="938"/>
    </row>
    <row r="118" spans="2:12" x14ac:dyDescent="0.25">
      <c r="B118" s="936"/>
      <c r="C118" s="988">
        <v>7.12</v>
      </c>
      <c r="D118" s="2170" t="s">
        <v>1107</v>
      </c>
      <c r="E118" s="2160"/>
      <c r="F118" s="2178"/>
      <c r="G118" s="1814" t="str">
        <f t="array" ref="G118">IFERROR(INDEX('ESDS-Lookup-Table'!$B$1:$B$469,MATCH(1,('ESDS-Lookup-Table'!$A$1:$A$469=C118)*('ESDS-Lookup-Table'!$C$1:$C$469=$D$19)*('ESDS-Lookup-Table'!$D$1:$D$469=$D$21),0)),"Select Region and Activity")</f>
        <v>Mandatory</v>
      </c>
      <c r="H118" s="791" t="s">
        <v>1441</v>
      </c>
      <c r="I118" s="937">
        <f t="shared" si="4"/>
        <v>0</v>
      </c>
      <c r="J118" s="938"/>
    </row>
    <row r="119" spans="2:12" x14ac:dyDescent="0.25">
      <c r="B119" s="936"/>
      <c r="C119" s="988">
        <v>7.13</v>
      </c>
      <c r="D119" s="2170" t="s">
        <v>1106</v>
      </c>
      <c r="E119" s="2160"/>
      <c r="F119" s="2178"/>
      <c r="G119" s="1814" t="str">
        <f t="array" ref="G119">IFERROR(INDEX('ESDS-Lookup-Table'!$B$1:$B$469,MATCH(1,('ESDS-Lookup-Table'!$A$1:$A$469=C119)*('ESDS-Lookup-Table'!$C$1:$C$469=$D$19)*('ESDS-Lookup-Table'!$D$1:$D$469=$D$21),0)),"Select Region and Activity")</f>
        <v>0, 2 to 8</v>
      </c>
      <c r="H119" s="791">
        <v>8</v>
      </c>
      <c r="I119" s="937">
        <f t="shared" si="4"/>
        <v>8</v>
      </c>
      <c r="J119" s="970"/>
    </row>
    <row r="120" spans="2:12" x14ac:dyDescent="0.25">
      <c r="B120" s="936"/>
      <c r="C120" s="988">
        <v>7.14</v>
      </c>
      <c r="D120" s="2170" t="s">
        <v>1105</v>
      </c>
      <c r="E120" s="2160"/>
      <c r="F120" s="2178"/>
      <c r="G120" s="1814" t="str">
        <f t="array" ref="G120">IFERROR(INDEX('ESDS-Lookup-Table'!$B$1:$B$469,MATCH(1,('ESDS-Lookup-Table'!$A$1:$A$469=C120)*('ESDS-Lookup-Table'!$C$1:$C$469=$D$19)*('ESDS-Lookup-Table'!$D$1:$D$469=$D$21),0)),"Select Region and Activity")</f>
        <v>Mandatory</v>
      </c>
      <c r="H120" s="791" t="s">
        <v>1441</v>
      </c>
      <c r="I120" s="937">
        <f t="shared" si="4"/>
        <v>0</v>
      </c>
      <c r="J120" s="938"/>
    </row>
    <row r="121" spans="2:12" x14ac:dyDescent="0.25">
      <c r="B121" s="936"/>
      <c r="C121" s="988">
        <v>7.15</v>
      </c>
      <c r="D121" s="2170" t="s">
        <v>1104</v>
      </c>
      <c r="E121" s="2160"/>
      <c r="F121" s="2178"/>
      <c r="G121" s="1814" t="str">
        <f t="array" ref="G121">IFERROR(INDEX('ESDS-Lookup-Table'!$B$1:$B$469,MATCH(1,('ESDS-Lookup-Table'!$A$1:$A$469=C121)*('ESDS-Lookup-Table'!$C$1:$C$469=$D$19)*('ESDS-Lookup-Table'!$D$1:$D$469=$D$21),0)),"Select Region and Activity")</f>
        <v>Mandatory</v>
      </c>
      <c r="H121" s="791" t="s">
        <v>1441</v>
      </c>
      <c r="I121" s="937">
        <f t="shared" si="4"/>
        <v>0</v>
      </c>
      <c r="J121" s="938"/>
    </row>
    <row r="122" spans="2:12" x14ac:dyDescent="0.25">
      <c r="B122" s="936"/>
      <c r="C122" s="988">
        <v>7.16</v>
      </c>
      <c r="D122" s="2170" t="s">
        <v>1103</v>
      </c>
      <c r="E122" s="2160"/>
      <c r="F122" s="2178"/>
      <c r="G122" s="1814" t="str">
        <f t="array" ref="G122">IFERROR(INDEX('ESDS-Lookup-Table'!$B$1:$B$469,MATCH(1,('ESDS-Lookup-Table'!$A$1:$A$469=C122)*('ESDS-Lookup-Table'!$C$1:$C$469=$D$19)*('ESDS-Lookup-Table'!$D$1:$D$469=$D$21),0)),"Select Region and Activity")</f>
        <v>Mandatory</v>
      </c>
      <c r="H122" s="791" t="s">
        <v>1441</v>
      </c>
      <c r="I122" s="937">
        <f t="shared" si="4"/>
        <v>0</v>
      </c>
      <c r="J122" s="938"/>
    </row>
    <row r="123" spans="2:12" x14ac:dyDescent="0.25">
      <c r="B123" s="936"/>
      <c r="C123" s="990">
        <v>7.17</v>
      </c>
      <c r="D123" s="2171" t="s">
        <v>1102</v>
      </c>
      <c r="E123" s="2165"/>
      <c r="F123" s="2189"/>
      <c r="G123" s="821" t="str">
        <f t="array" ref="G123">IFERROR(INDEX('ESDS-Lookup-Table'!$B$1:$B$469,MATCH(1,('ESDS-Lookup-Table'!$A$1:$A$469=C123)*('ESDS-Lookup-Table'!$C$1:$C$469=$D$19)*('ESDS-Lookup-Table'!$D$1:$D$469=$D$21),0)),"Select Region and Activity")</f>
        <v>0 or 7</v>
      </c>
      <c r="H123" s="791">
        <v>7</v>
      </c>
      <c r="I123" s="937">
        <f t="shared" si="4"/>
        <v>7</v>
      </c>
      <c r="J123" s="938"/>
    </row>
    <row r="124" spans="2:12" x14ac:dyDescent="0.25">
      <c r="B124" s="936"/>
      <c r="C124" s="959"/>
      <c r="D124" s="960"/>
      <c r="E124" s="961"/>
      <c r="F124" s="961"/>
      <c r="G124" s="962" t="s">
        <v>1101</v>
      </c>
      <c r="H124" s="963">
        <f>SUM(I102:I123)</f>
        <v>15</v>
      </c>
      <c r="I124" s="937"/>
      <c r="J124" s="938"/>
    </row>
    <row r="125" spans="2:12" ht="7.5" customHeight="1" x14ac:dyDescent="0.25">
      <c r="B125" s="936"/>
      <c r="C125" s="964"/>
      <c r="D125" s="966"/>
      <c r="E125" s="964"/>
      <c r="F125" s="964"/>
      <c r="G125" s="965"/>
      <c r="H125" s="966"/>
      <c r="I125" s="937"/>
      <c r="J125" s="938"/>
    </row>
    <row r="126" spans="2:12" x14ac:dyDescent="0.25">
      <c r="B126" s="936"/>
      <c r="C126" s="983" t="s">
        <v>1100</v>
      </c>
      <c r="D126" s="937"/>
      <c r="E126" s="983"/>
      <c r="F126" s="983"/>
      <c r="G126" s="965"/>
      <c r="H126" s="937"/>
      <c r="I126" s="937"/>
      <c r="J126" s="938"/>
    </row>
    <row r="127" spans="2:12" x14ac:dyDescent="0.25">
      <c r="B127" s="936"/>
      <c r="C127" s="1606" t="s">
        <v>1230</v>
      </c>
      <c r="D127" s="1607" t="s">
        <v>1231</v>
      </c>
      <c r="E127" s="1608"/>
      <c r="F127" s="1608"/>
      <c r="G127" s="1609" t="s">
        <v>1099</v>
      </c>
      <c r="H127" s="1610" t="s">
        <v>1098</v>
      </c>
      <c r="I127" s="937"/>
      <c r="J127" s="938"/>
    </row>
    <row r="128" spans="2:12" x14ac:dyDescent="0.25">
      <c r="B128" s="936"/>
      <c r="C128" s="984" t="s">
        <v>1097</v>
      </c>
      <c r="D128" s="2163" t="s">
        <v>1096</v>
      </c>
      <c r="E128" s="2157"/>
      <c r="F128" s="2188"/>
      <c r="G128" s="821" t="str">
        <f t="array" ref="G128">IFERROR(INDEX('ESDS-Lookup-Table'!$B$1:$B$469,MATCH(1,('ESDS-Lookup-Table'!$A$1:$A$469=C128)*('ESDS-Lookup-Table'!$C$1:$C$469=$D$19)*('ESDS-Lookup-Table'!$D$1:$D$469=$D$21),0)),"Select Region and Activity")</f>
        <v>Mandatory</v>
      </c>
      <c r="H128" s="791" t="s">
        <v>1441</v>
      </c>
      <c r="I128" s="937">
        <f>N(H128)</f>
        <v>0</v>
      </c>
      <c r="J128" s="938"/>
    </row>
    <row r="129" spans="2:10" x14ac:dyDescent="0.25">
      <c r="B129" s="936"/>
      <c r="C129" s="988" t="s">
        <v>1095</v>
      </c>
      <c r="D129" s="2170" t="s">
        <v>1094</v>
      </c>
      <c r="E129" s="2160"/>
      <c r="F129" s="2178"/>
      <c r="G129" s="1814" t="str">
        <f t="array" ref="G129">IFERROR(INDEX('ESDS-Lookup-Table'!$B$1:$B$469,MATCH(1,('ESDS-Lookup-Table'!$A$1:$A$469=C129)*('ESDS-Lookup-Table'!$C$1:$C$469=$D$19)*('ESDS-Lookup-Table'!$D$1:$D$469=$D$21),0)),"Select Region and Activity")</f>
        <v>Mandatory</v>
      </c>
      <c r="H129" s="791" t="s">
        <v>1441</v>
      </c>
      <c r="I129" s="937">
        <f>N(H129)</f>
        <v>0</v>
      </c>
      <c r="J129" s="938"/>
    </row>
    <row r="130" spans="2:10" x14ac:dyDescent="0.25">
      <c r="B130" s="936"/>
      <c r="C130" s="988" t="s">
        <v>1093</v>
      </c>
      <c r="D130" s="2170" t="s">
        <v>1092</v>
      </c>
      <c r="E130" s="2160"/>
      <c r="F130" s="2178"/>
      <c r="G130" s="1814" t="str">
        <f t="array" ref="G130">IFERROR(INDEX('ESDS-Lookup-Table'!$B$1:$B$469,MATCH(1,('ESDS-Lookup-Table'!$A$1:$A$469=C130)*('ESDS-Lookup-Table'!$C$1:$C$469=$D$19)*('ESDS-Lookup-Table'!$D$1:$D$469=$D$21),0)),"Select Region and Activity")</f>
        <v>Mandatory</v>
      </c>
      <c r="H130" s="791" t="s">
        <v>1441</v>
      </c>
      <c r="I130" s="937">
        <f>N(H130)</f>
        <v>0</v>
      </c>
      <c r="J130" s="938"/>
    </row>
    <row r="131" spans="2:10" x14ac:dyDescent="0.25">
      <c r="B131" s="936"/>
      <c r="C131" s="988" t="s">
        <v>1090</v>
      </c>
      <c r="D131" s="2170" t="s">
        <v>1089</v>
      </c>
      <c r="E131" s="2160"/>
      <c r="F131" s="2178"/>
      <c r="G131" s="1814" t="str">
        <f t="array" ref="G131">IFERROR(INDEX('ESDS-Lookup-Table'!$B$1:$B$469,MATCH(1,('ESDS-Lookup-Table'!$A$1:$A$469=C131)*('ESDS-Lookup-Table'!$C$1:$C$469=$D$19)*('ESDS-Lookup-Table'!$D$1:$D$469=$D$21),0)),"Select Region and Activity")</f>
        <v>0 or 7</v>
      </c>
      <c r="H131" s="791">
        <v>0</v>
      </c>
      <c r="I131" s="937">
        <f>N(H131)</f>
        <v>0</v>
      </c>
      <c r="J131" s="938"/>
    </row>
    <row r="132" spans="2:10" x14ac:dyDescent="0.25">
      <c r="B132" s="936"/>
      <c r="C132" s="990" t="s">
        <v>1088</v>
      </c>
      <c r="D132" s="2171" t="s">
        <v>1087</v>
      </c>
      <c r="E132" s="2165"/>
      <c r="F132" s="2189"/>
      <c r="G132" s="821" t="str">
        <f t="array" ref="G132">IFERROR(INDEX('ESDS-Lookup-Table'!$B$1:$B$469,MATCH(1,('ESDS-Lookup-Table'!$A$1:$A$469=C132)*('ESDS-Lookup-Table'!$C$1:$C$469=$D$19)*('ESDS-Lookup-Table'!$D$1:$D$469=$D$21),0)),"Select Region and Activity")</f>
        <v>0 or 2</v>
      </c>
      <c r="H132" s="791">
        <v>2</v>
      </c>
      <c r="I132" s="937">
        <f>N(H132)</f>
        <v>2</v>
      </c>
      <c r="J132" s="938"/>
    </row>
    <row r="133" spans="2:10" x14ac:dyDescent="0.25">
      <c r="B133" s="936"/>
      <c r="C133" s="959"/>
      <c r="D133" s="960"/>
      <c r="E133" s="961"/>
      <c r="F133" s="961"/>
      <c r="G133" s="962" t="s">
        <v>1086</v>
      </c>
      <c r="H133" s="963">
        <f>SUM(I128:I132)</f>
        <v>2</v>
      </c>
      <c r="I133" s="937"/>
      <c r="J133" s="938"/>
    </row>
    <row r="134" spans="2:10" ht="15.75" thickBot="1" x14ac:dyDescent="0.3">
      <c r="B134" s="936"/>
      <c r="C134" s="937"/>
      <c r="D134" s="937"/>
      <c r="E134" s="937"/>
      <c r="F134" s="937"/>
      <c r="G134" s="937"/>
      <c r="H134" s="937"/>
      <c r="I134" s="937"/>
      <c r="J134" s="938"/>
    </row>
    <row r="135" spans="2:10" x14ac:dyDescent="0.25">
      <c r="B135" s="936"/>
      <c r="C135" s="937"/>
      <c r="D135" s="937"/>
      <c r="E135" s="937"/>
      <c r="F135" s="937"/>
      <c r="G135" s="1002" t="s">
        <v>1085</v>
      </c>
      <c r="H135" s="1003">
        <f>H27</f>
        <v>0</v>
      </c>
      <c r="I135" s="937"/>
      <c r="J135" s="938"/>
    </row>
    <row r="136" spans="2:10" x14ac:dyDescent="0.25">
      <c r="B136" s="936"/>
      <c r="C136" s="937"/>
      <c r="D136" s="937"/>
      <c r="E136" s="937"/>
      <c r="F136" s="937"/>
      <c r="G136" s="1004" t="s">
        <v>1084</v>
      </c>
      <c r="H136" s="1005">
        <f>H42</f>
        <v>16</v>
      </c>
      <c r="I136" s="937"/>
      <c r="J136" s="938"/>
    </row>
    <row r="137" spans="2:10" x14ac:dyDescent="0.25">
      <c r="B137" s="936"/>
      <c r="C137" s="937"/>
      <c r="D137" s="937"/>
      <c r="E137" s="937"/>
      <c r="F137" s="937"/>
      <c r="G137" s="1004" t="s">
        <v>1083</v>
      </c>
      <c r="H137" s="1005">
        <f>H54</f>
        <v>9</v>
      </c>
      <c r="I137" s="937"/>
      <c r="J137" s="938"/>
    </row>
    <row r="138" spans="2:10" x14ac:dyDescent="0.25">
      <c r="B138" s="936"/>
      <c r="C138" s="937"/>
      <c r="D138" s="937"/>
      <c r="E138" s="937"/>
      <c r="F138" s="937"/>
      <c r="G138" s="1004" t="s">
        <v>1082</v>
      </c>
      <c r="H138" s="1005">
        <f>H61</f>
        <v>5</v>
      </c>
      <c r="I138" s="937"/>
      <c r="J138" s="938"/>
    </row>
    <row r="139" spans="2:10" x14ac:dyDescent="0.25">
      <c r="B139" s="936"/>
      <c r="C139" s="937"/>
      <c r="D139" s="937"/>
      <c r="E139" s="937"/>
      <c r="F139" s="937"/>
      <c r="G139" s="1004" t="s">
        <v>1081</v>
      </c>
      <c r="H139" s="1005">
        <f>H84</f>
        <v>8</v>
      </c>
      <c r="I139" s="937"/>
      <c r="J139" s="938"/>
    </row>
    <row r="140" spans="2:10" x14ac:dyDescent="0.25">
      <c r="B140" s="936"/>
      <c r="C140" s="937"/>
      <c r="D140" s="937"/>
      <c r="E140" s="937"/>
      <c r="F140" s="937"/>
      <c r="G140" s="1004" t="s">
        <v>1080</v>
      </c>
      <c r="H140" s="1005">
        <f>H97</f>
        <v>9</v>
      </c>
      <c r="I140" s="937"/>
      <c r="J140" s="938"/>
    </row>
    <row r="141" spans="2:10" x14ac:dyDescent="0.25">
      <c r="B141" s="936"/>
      <c r="C141" s="937"/>
      <c r="D141" s="937"/>
      <c r="E141" s="937"/>
      <c r="F141" s="937"/>
      <c r="G141" s="1004" t="s">
        <v>1079</v>
      </c>
      <c r="H141" s="1005">
        <f>H124</f>
        <v>15</v>
      </c>
      <c r="I141" s="937"/>
      <c r="J141" s="938"/>
    </row>
    <row r="142" spans="2:10" ht="15.75" thickBot="1" x14ac:dyDescent="0.3">
      <c r="B142" s="936"/>
      <c r="C142" s="937"/>
      <c r="D142" s="937"/>
      <c r="E142" s="937"/>
      <c r="F142" s="937"/>
      <c r="G142" s="1006" t="s">
        <v>1078</v>
      </c>
      <c r="H142" s="1007">
        <f>H133</f>
        <v>2</v>
      </c>
      <c r="I142" s="937"/>
      <c r="J142" s="938"/>
    </row>
    <row r="143" spans="2:10" ht="16.5" thickTop="1" thickBot="1" x14ac:dyDescent="0.3">
      <c r="B143" s="936"/>
      <c r="C143" s="937"/>
      <c r="D143" s="937"/>
      <c r="E143" s="937"/>
      <c r="F143" s="937"/>
      <c r="G143" s="1008" t="s">
        <v>1077</v>
      </c>
      <c r="H143" s="1009">
        <f>SUM(H135:H142)</f>
        <v>64</v>
      </c>
      <c r="I143" s="937"/>
      <c r="J143" s="938"/>
    </row>
    <row r="144" spans="2:10" ht="9" customHeight="1" thickBot="1" x14ac:dyDescent="0.3">
      <c r="B144" s="992"/>
      <c r="C144" s="994"/>
      <c r="D144" s="994"/>
      <c r="E144" s="994"/>
      <c r="F144" s="994"/>
      <c r="G144" s="994"/>
      <c r="H144" s="994"/>
      <c r="I144" s="994"/>
      <c r="J144" s="996"/>
    </row>
  </sheetData>
  <sheetProtection password="9F6B" sheet="1" objects="1" scenarios="1" formatCells="0" formatColumns="0" formatRows="0"/>
  <dataConsolidate link="1"/>
  <mergeCells count="81">
    <mergeCell ref="D131:F131"/>
    <mergeCell ref="D132:F132"/>
    <mergeCell ref="D121:F121"/>
    <mergeCell ref="D122:F122"/>
    <mergeCell ref="D123:F123"/>
    <mergeCell ref="D128:F128"/>
    <mergeCell ref="D129:F129"/>
    <mergeCell ref="D130:F130"/>
    <mergeCell ref="D120:F120"/>
    <mergeCell ref="D109:F109"/>
    <mergeCell ref="D110:F110"/>
    <mergeCell ref="D111:F111"/>
    <mergeCell ref="D112:F112"/>
    <mergeCell ref="D113:F113"/>
    <mergeCell ref="D114:F114"/>
    <mergeCell ref="D115:F115"/>
    <mergeCell ref="D116:F116"/>
    <mergeCell ref="D117:F117"/>
    <mergeCell ref="D118:F118"/>
    <mergeCell ref="D119:F119"/>
    <mergeCell ref="D108:F108"/>
    <mergeCell ref="D92:F92"/>
    <mergeCell ref="D93:F93"/>
    <mergeCell ref="D94:F94"/>
    <mergeCell ref="D95:F95"/>
    <mergeCell ref="D96:F96"/>
    <mergeCell ref="D102:F102"/>
    <mergeCell ref="D103:F103"/>
    <mergeCell ref="D104:F104"/>
    <mergeCell ref="D105:F105"/>
    <mergeCell ref="D106:F106"/>
    <mergeCell ref="D107:F107"/>
    <mergeCell ref="D91:F91"/>
    <mergeCell ref="D76:F76"/>
    <mergeCell ref="D77:F77"/>
    <mergeCell ref="D78:F78"/>
    <mergeCell ref="D79:F79"/>
    <mergeCell ref="D80:F80"/>
    <mergeCell ref="D81:F81"/>
    <mergeCell ref="D82:F82"/>
    <mergeCell ref="D83:F83"/>
    <mergeCell ref="D88:F88"/>
    <mergeCell ref="D89:F89"/>
    <mergeCell ref="D90:F90"/>
    <mergeCell ref="D75:F75"/>
    <mergeCell ref="D59:F59"/>
    <mergeCell ref="D60:F60"/>
    <mergeCell ref="D66:F66"/>
    <mergeCell ref="D67:F67"/>
    <mergeCell ref="D68:F68"/>
    <mergeCell ref="D69:F69"/>
    <mergeCell ref="D70:F70"/>
    <mergeCell ref="D71:F71"/>
    <mergeCell ref="D72:F72"/>
    <mergeCell ref="D73:F73"/>
    <mergeCell ref="D74:F74"/>
    <mergeCell ref="D58:F58"/>
    <mergeCell ref="D39:F39"/>
    <mergeCell ref="D40:F40"/>
    <mergeCell ref="D41:F41"/>
    <mergeCell ref="D46:F46"/>
    <mergeCell ref="D47:F47"/>
    <mergeCell ref="D48:F48"/>
    <mergeCell ref="D49:F49"/>
    <mergeCell ref="D50:F50"/>
    <mergeCell ref="D51:F51"/>
    <mergeCell ref="D52:F52"/>
    <mergeCell ref="D53:F53"/>
    <mergeCell ref="D38:F38"/>
    <mergeCell ref="C13:H13"/>
    <mergeCell ref="D15:F15"/>
    <mergeCell ref="D25:F25"/>
    <mergeCell ref="D26:F26"/>
    <mergeCell ref="D31:F31"/>
    <mergeCell ref="D32:F32"/>
    <mergeCell ref="D33:F33"/>
    <mergeCell ref="D34:F34"/>
    <mergeCell ref="D35:F35"/>
    <mergeCell ref="D36:F36"/>
    <mergeCell ref="D37:F37"/>
    <mergeCell ref="D17:F17"/>
  </mergeCells>
  <conditionalFormatting sqref="E22">
    <cfRule type="expression" dxfId="57" priority="18">
      <formula>$D$21&lt;&gt;"Rehab"</formula>
    </cfRule>
  </conditionalFormatting>
  <conditionalFormatting sqref="F22">
    <cfRule type="expression" dxfId="56" priority="17">
      <formula>$D$21&lt;&gt;"Rehab"</formula>
    </cfRule>
  </conditionalFormatting>
  <conditionalFormatting sqref="H21">
    <cfRule type="expression" dxfId="55" priority="16">
      <formula>$H$21&lt;&gt;""</formula>
    </cfRule>
  </conditionalFormatting>
  <conditionalFormatting sqref="D19:H19">
    <cfRule type="expression" dxfId="54" priority="14">
      <formula>$D$19="Rural"</formula>
    </cfRule>
    <cfRule type="expression" dxfId="53" priority="15">
      <formula>$D$19="Urban"</formula>
    </cfRule>
  </conditionalFormatting>
  <conditionalFormatting sqref="H25:H26">
    <cfRule type="expression" dxfId="52" priority="13">
      <formula>G25="n/a"</formula>
    </cfRule>
  </conditionalFormatting>
  <conditionalFormatting sqref="H31:H41">
    <cfRule type="expression" dxfId="51" priority="12">
      <formula>G31="n/a"</formula>
    </cfRule>
  </conditionalFormatting>
  <conditionalFormatting sqref="H46:H53">
    <cfRule type="expression" dxfId="50" priority="11">
      <formula>G46="n/a"</formula>
    </cfRule>
  </conditionalFormatting>
  <conditionalFormatting sqref="H58:H60">
    <cfRule type="expression" dxfId="49" priority="10">
      <formula>G58="n/a"</formula>
    </cfRule>
  </conditionalFormatting>
  <conditionalFormatting sqref="H88:H96">
    <cfRule type="expression" dxfId="48" priority="9">
      <formula>G88="n/a"</formula>
    </cfRule>
  </conditionalFormatting>
  <conditionalFormatting sqref="H102:H123">
    <cfRule type="expression" dxfId="47" priority="8">
      <formula>G102="n/a"</formula>
    </cfRule>
  </conditionalFormatting>
  <conditionalFormatting sqref="H128:H132">
    <cfRule type="expression" dxfId="46" priority="7">
      <formula>G128="n/a"</formula>
    </cfRule>
  </conditionalFormatting>
  <conditionalFormatting sqref="H76">
    <cfRule type="expression" dxfId="45" priority="6">
      <formula>$H$68&gt;0</formula>
    </cfRule>
  </conditionalFormatting>
  <conditionalFormatting sqref="H78">
    <cfRule type="expression" dxfId="44" priority="5">
      <formula>$H$68&gt;0</formula>
    </cfRule>
  </conditionalFormatting>
  <conditionalFormatting sqref="H80">
    <cfRule type="expression" dxfId="43" priority="4">
      <formula>$H$68&gt;0</formula>
    </cfRule>
  </conditionalFormatting>
  <conditionalFormatting sqref="H81">
    <cfRule type="expression" dxfId="42" priority="3">
      <formula>$H$69&gt;0</formula>
    </cfRule>
  </conditionalFormatting>
  <conditionalFormatting sqref="H82">
    <cfRule type="expression" dxfId="41" priority="2">
      <formula>$H$69&gt;0</formula>
    </cfRule>
  </conditionalFormatting>
  <conditionalFormatting sqref="H83">
    <cfRule type="expression" dxfId="40" priority="1">
      <formula>$H$69&gt;0</formula>
    </cfRule>
  </conditionalFormatting>
  <dataValidations count="6">
    <dataValidation type="list" allowBlank="1" showInputMessage="1" showErrorMessage="1" sqref="D21">
      <formula1>"Select…,New Construction,Rehab - Mod,Rehab - Subs"</formula1>
    </dataValidation>
    <dataValidation type="list" allowBlank="1" showInputMessage="1" showErrorMessage="1" sqref="H25 H31 H33 H46:H48 H51 H53 H58 H70:H71 H73 H79 H88:H89 H102:H103 H109:H112 H114:H118 H120:H122 H128:H130">
      <formula1>"X,n/a"</formula1>
    </dataValidation>
    <dataValidation type="list" allowBlank="1" showInputMessage="1" showErrorMessage="1" sqref="F22">
      <formula1>"Select…,Moderate,Substantial"</formula1>
    </dataValidation>
    <dataValidation type="list" allowBlank="1" showInputMessage="1" showErrorMessage="1" sqref="D22">
      <formula1>"Select…,New Construction,Rehab"</formula1>
    </dataValidation>
    <dataValidation type="list" allowBlank="1" showInputMessage="1" showErrorMessage="1" sqref="D19:D20">
      <formula1>"Select…,Urban,Rural"</formula1>
    </dataValidation>
    <dataValidation type="date" operator="greaterThan" allowBlank="1" showInputMessage="1" showErrorMessage="1" errorTitle="Incorrect Date/Format" error="Please enter a date in the format mm/dd/yyyy." sqref="C16:D16 F16:G16 C18:D18 F18:G18">
      <formula1>39630</formula1>
    </dataValidation>
  </dataValidations>
  <printOptions horizontalCentered="1"/>
  <pageMargins left="0.7" right="0.7" top="0.75" bottom="0.75" header="0.3" footer="0.3"/>
  <pageSetup scale="67" fitToHeight="2" orientation="portrait" r:id="rId1"/>
  <headerFooter>
    <oddFooter>&amp;LForm 2C(a)
Evergreen Standard Checklist
(ESDS v2.2)&amp;CCFA Forms&amp;REdition: 2015
Version: 1.0</oddFooter>
  </headerFooter>
  <rowBreaks count="1" manualBreakCount="1">
    <brk id="85"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69"/>
  <sheetViews>
    <sheetView workbookViewId="0">
      <selection activeCell="I8" sqref="I8"/>
    </sheetView>
  </sheetViews>
  <sheetFormatPr defaultRowHeight="15" x14ac:dyDescent="0.25"/>
  <cols>
    <col min="1" max="1" width="8.85546875" style="814" bestFit="1" customWidth="1"/>
    <col min="2" max="2" width="32.28515625" style="814" bestFit="1" customWidth="1"/>
    <col min="3" max="3" width="8.85546875" style="814" customWidth="1"/>
    <col min="4" max="4" width="17" style="814" bestFit="1" customWidth="1"/>
    <col min="5" max="16384" width="9.140625" style="814"/>
  </cols>
  <sheetData>
    <row r="1" spans="1:4" x14ac:dyDescent="0.25">
      <c r="A1" s="814" t="s">
        <v>1350</v>
      </c>
      <c r="B1" s="814" t="s">
        <v>1351</v>
      </c>
      <c r="C1" s="814" t="s">
        <v>1352</v>
      </c>
      <c r="D1" s="814" t="s">
        <v>1353</v>
      </c>
    </row>
    <row r="2" spans="1:4" x14ac:dyDescent="0.25">
      <c r="A2" s="955">
        <v>1.1000000000000001</v>
      </c>
      <c r="B2" s="956" t="s">
        <v>1091</v>
      </c>
      <c r="C2" s="814" t="s">
        <v>1354</v>
      </c>
      <c r="D2" s="814" t="s">
        <v>29</v>
      </c>
    </row>
    <row r="3" spans="1:4" x14ac:dyDescent="0.25">
      <c r="A3" s="957">
        <v>1.2</v>
      </c>
      <c r="B3" s="958" t="s">
        <v>1236</v>
      </c>
      <c r="C3" s="814" t="s">
        <v>1354</v>
      </c>
      <c r="D3" s="814" t="s">
        <v>29</v>
      </c>
    </row>
    <row r="4" spans="1:4" x14ac:dyDescent="0.25">
      <c r="A4" s="967">
        <v>2.1</v>
      </c>
      <c r="B4" s="956" t="s">
        <v>1091</v>
      </c>
      <c r="C4" s="814" t="s">
        <v>1354</v>
      </c>
      <c r="D4" s="814" t="s">
        <v>29</v>
      </c>
    </row>
    <row r="5" spans="1:4" x14ac:dyDescent="0.25">
      <c r="A5" s="968">
        <v>2.2000000000000002</v>
      </c>
      <c r="B5" s="969" t="s">
        <v>1248</v>
      </c>
      <c r="C5" s="814" t="s">
        <v>1354</v>
      </c>
      <c r="D5" s="814" t="s">
        <v>29</v>
      </c>
    </row>
    <row r="6" spans="1:4" x14ac:dyDescent="0.25">
      <c r="A6" s="968">
        <v>2.2999999999999998</v>
      </c>
      <c r="B6" s="969" t="s">
        <v>1091</v>
      </c>
      <c r="C6" s="814" t="s">
        <v>1354</v>
      </c>
      <c r="D6" s="814" t="s">
        <v>29</v>
      </c>
    </row>
    <row r="7" spans="1:4" x14ac:dyDescent="0.25">
      <c r="A7" s="968">
        <v>2.4</v>
      </c>
      <c r="B7" s="969" t="s">
        <v>1237</v>
      </c>
      <c r="C7" s="814" t="s">
        <v>1354</v>
      </c>
      <c r="D7" s="814" t="s">
        <v>29</v>
      </c>
    </row>
    <row r="8" spans="1:4" x14ac:dyDescent="0.25">
      <c r="A8" s="968">
        <v>2.5</v>
      </c>
      <c r="B8" s="969" t="s">
        <v>1355</v>
      </c>
      <c r="C8" s="814" t="s">
        <v>1354</v>
      </c>
      <c r="D8" s="814" t="s">
        <v>29</v>
      </c>
    </row>
    <row r="9" spans="1:4" x14ac:dyDescent="0.25">
      <c r="A9" s="968">
        <v>2.6</v>
      </c>
      <c r="B9" s="969" t="s">
        <v>1238</v>
      </c>
      <c r="C9" s="814" t="s">
        <v>1354</v>
      </c>
      <c r="D9" s="814" t="s">
        <v>29</v>
      </c>
    </row>
    <row r="10" spans="1:4" x14ac:dyDescent="0.25">
      <c r="A10" s="971" t="s">
        <v>1219</v>
      </c>
      <c r="B10" s="969" t="s">
        <v>1356</v>
      </c>
      <c r="C10" s="814" t="s">
        <v>1354</v>
      </c>
      <c r="D10" s="814" t="s">
        <v>29</v>
      </c>
    </row>
    <row r="11" spans="1:4" x14ac:dyDescent="0.25">
      <c r="A11" s="968" t="s">
        <v>1200</v>
      </c>
      <c r="B11" s="969" t="s">
        <v>1357</v>
      </c>
      <c r="C11" s="814" t="s">
        <v>1354</v>
      </c>
      <c r="D11" s="814" t="s">
        <v>29</v>
      </c>
    </row>
    <row r="12" spans="1:4" x14ac:dyDescent="0.25">
      <c r="A12" s="968">
        <v>2.8</v>
      </c>
      <c r="B12" s="969" t="s">
        <v>1241</v>
      </c>
      <c r="C12" s="814" t="s">
        <v>1354</v>
      </c>
      <c r="D12" s="814" t="s">
        <v>29</v>
      </c>
    </row>
    <row r="13" spans="1:4" x14ac:dyDescent="0.25">
      <c r="A13" s="968">
        <v>2.9</v>
      </c>
      <c r="B13" s="969" t="s">
        <v>1239</v>
      </c>
      <c r="C13" s="814" t="s">
        <v>1354</v>
      </c>
      <c r="D13" s="814" t="s">
        <v>29</v>
      </c>
    </row>
    <row r="14" spans="1:4" x14ac:dyDescent="0.25">
      <c r="A14" s="974" t="s">
        <v>1196</v>
      </c>
      <c r="B14" s="958" t="s">
        <v>1238</v>
      </c>
      <c r="C14" s="814" t="s">
        <v>1354</v>
      </c>
      <c r="D14" s="814" t="s">
        <v>29</v>
      </c>
    </row>
    <row r="15" spans="1:4" x14ac:dyDescent="0.25">
      <c r="A15" s="967" t="s">
        <v>1192</v>
      </c>
      <c r="B15" s="956" t="s">
        <v>1091</v>
      </c>
      <c r="C15" s="814" t="s">
        <v>1354</v>
      </c>
      <c r="D15" s="814" t="s">
        <v>29</v>
      </c>
    </row>
    <row r="16" spans="1:4" x14ac:dyDescent="0.25">
      <c r="A16" s="968" t="s">
        <v>1190</v>
      </c>
      <c r="B16" s="969" t="s">
        <v>1091</v>
      </c>
      <c r="C16" s="814" t="s">
        <v>1354</v>
      </c>
      <c r="D16" s="814" t="s">
        <v>29</v>
      </c>
    </row>
    <row r="17" spans="1:4" x14ac:dyDescent="0.25">
      <c r="A17" s="968" t="s">
        <v>1188</v>
      </c>
      <c r="B17" s="975" t="s">
        <v>1187</v>
      </c>
      <c r="C17" s="814" t="s">
        <v>1354</v>
      </c>
      <c r="D17" s="814" t="s">
        <v>29</v>
      </c>
    </row>
    <row r="18" spans="1:4" x14ac:dyDescent="0.25">
      <c r="A18" s="968" t="s">
        <v>1186</v>
      </c>
      <c r="B18" s="969" t="s">
        <v>1237</v>
      </c>
      <c r="C18" s="814" t="s">
        <v>1354</v>
      </c>
      <c r="D18" s="814" t="s">
        <v>29</v>
      </c>
    </row>
    <row r="19" spans="1:4" x14ac:dyDescent="0.25">
      <c r="A19" s="968" t="s">
        <v>1185</v>
      </c>
      <c r="B19" s="969" t="s">
        <v>1234</v>
      </c>
      <c r="C19" s="814" t="s">
        <v>1354</v>
      </c>
      <c r="D19" s="814" t="s">
        <v>29</v>
      </c>
    </row>
    <row r="20" spans="1:4" x14ac:dyDescent="0.25">
      <c r="A20" s="968" t="s">
        <v>1183</v>
      </c>
      <c r="B20" s="975" t="s">
        <v>1181</v>
      </c>
      <c r="C20" s="814" t="s">
        <v>1354</v>
      </c>
      <c r="D20" s="814" t="s">
        <v>29</v>
      </c>
    </row>
    <row r="21" spans="1:4" x14ac:dyDescent="0.25">
      <c r="A21" s="968" t="s">
        <v>1180</v>
      </c>
      <c r="B21" s="969" t="s">
        <v>1240</v>
      </c>
      <c r="C21" s="814" t="s">
        <v>1354</v>
      </c>
      <c r="D21" s="814" t="s">
        <v>29</v>
      </c>
    </row>
    <row r="22" spans="1:4" x14ac:dyDescent="0.25">
      <c r="A22" s="968" t="s">
        <v>1178</v>
      </c>
      <c r="B22" s="958" t="s">
        <v>1091</v>
      </c>
      <c r="C22" s="814" t="s">
        <v>1354</v>
      </c>
      <c r="D22" s="814" t="s">
        <v>29</v>
      </c>
    </row>
    <row r="23" spans="1:4" x14ac:dyDescent="0.25">
      <c r="A23" s="976" t="s">
        <v>1174</v>
      </c>
      <c r="B23" s="977" t="s">
        <v>1091</v>
      </c>
      <c r="C23" s="814" t="s">
        <v>1354</v>
      </c>
      <c r="D23" s="814" t="s">
        <v>29</v>
      </c>
    </row>
    <row r="24" spans="1:4" x14ac:dyDescent="0.25">
      <c r="A24" s="978" t="s">
        <v>1173</v>
      </c>
      <c r="B24" s="979" t="s">
        <v>1240</v>
      </c>
      <c r="C24" s="814" t="s">
        <v>1354</v>
      </c>
      <c r="D24" s="814" t="s">
        <v>29</v>
      </c>
    </row>
    <row r="25" spans="1:4" x14ac:dyDescent="0.25">
      <c r="A25" s="978" t="s">
        <v>1172</v>
      </c>
      <c r="B25" s="980" t="s">
        <v>1242</v>
      </c>
      <c r="C25" s="814" t="s">
        <v>1354</v>
      </c>
      <c r="D25" s="814" t="s">
        <v>29</v>
      </c>
    </row>
    <row r="26" spans="1:4" x14ac:dyDescent="0.25">
      <c r="A26" s="984" t="s">
        <v>1168</v>
      </c>
      <c r="B26" s="985" t="s">
        <v>1091</v>
      </c>
      <c r="C26" s="814" t="s">
        <v>1354</v>
      </c>
      <c r="D26" s="814" t="s">
        <v>29</v>
      </c>
    </row>
    <row r="27" spans="1:4" x14ac:dyDescent="0.25">
      <c r="A27" s="986" t="s">
        <v>1212</v>
      </c>
      <c r="B27" s="987" t="s">
        <v>1356</v>
      </c>
      <c r="C27" s="814" t="s">
        <v>1354</v>
      </c>
      <c r="D27" s="814" t="s">
        <v>29</v>
      </c>
    </row>
    <row r="28" spans="1:4" x14ac:dyDescent="0.25">
      <c r="A28" s="988" t="s">
        <v>1167</v>
      </c>
      <c r="B28" s="987" t="s">
        <v>1358</v>
      </c>
      <c r="C28" s="814" t="s">
        <v>1354</v>
      </c>
      <c r="D28" s="814" t="s">
        <v>29</v>
      </c>
    </row>
    <row r="29" spans="1:4" x14ac:dyDescent="0.25">
      <c r="A29" s="986" t="s">
        <v>1213</v>
      </c>
      <c r="B29" s="987" t="s">
        <v>1356</v>
      </c>
      <c r="C29" s="814" t="s">
        <v>1354</v>
      </c>
      <c r="D29" s="814" t="s">
        <v>29</v>
      </c>
    </row>
    <row r="30" spans="1:4" x14ac:dyDescent="0.25">
      <c r="A30" s="988" t="s">
        <v>1166</v>
      </c>
      <c r="B30" s="987" t="s">
        <v>1091</v>
      </c>
      <c r="C30" s="814" t="s">
        <v>1354</v>
      </c>
      <c r="D30" s="814" t="s">
        <v>29</v>
      </c>
    </row>
    <row r="31" spans="1:4" x14ac:dyDescent="0.25">
      <c r="A31" s="988" t="s">
        <v>1164</v>
      </c>
      <c r="B31" s="989" t="s">
        <v>1162</v>
      </c>
      <c r="C31" s="814" t="s">
        <v>1354</v>
      </c>
      <c r="D31" s="814" t="s">
        <v>29</v>
      </c>
    </row>
    <row r="32" spans="1:4" x14ac:dyDescent="0.25">
      <c r="A32" s="988" t="s">
        <v>1161</v>
      </c>
      <c r="B32" s="987" t="s">
        <v>1238</v>
      </c>
      <c r="C32" s="814" t="s">
        <v>1354</v>
      </c>
      <c r="D32" s="814" t="s">
        <v>29</v>
      </c>
    </row>
    <row r="33" spans="1:4" x14ac:dyDescent="0.25">
      <c r="A33" s="988" t="s">
        <v>1159</v>
      </c>
      <c r="B33" s="987" t="s">
        <v>1091</v>
      </c>
      <c r="C33" s="814" t="s">
        <v>1354</v>
      </c>
      <c r="D33" s="814" t="s">
        <v>29</v>
      </c>
    </row>
    <row r="34" spans="1:4" x14ac:dyDescent="0.25">
      <c r="A34" s="988" t="s">
        <v>1157</v>
      </c>
      <c r="B34" s="987" t="s">
        <v>1091</v>
      </c>
      <c r="C34" s="814" t="s">
        <v>1354</v>
      </c>
      <c r="D34" s="814" t="s">
        <v>29</v>
      </c>
    </row>
    <row r="35" spans="1:4" x14ac:dyDescent="0.25">
      <c r="A35" s="986" t="s">
        <v>1214</v>
      </c>
      <c r="B35" s="987" t="s">
        <v>1356</v>
      </c>
      <c r="C35" s="814" t="s">
        <v>1354</v>
      </c>
      <c r="D35" s="814" t="s">
        <v>29</v>
      </c>
    </row>
    <row r="36" spans="1:4" x14ac:dyDescent="0.25">
      <c r="A36" s="988" t="s">
        <v>1156</v>
      </c>
      <c r="B36" s="987" t="s">
        <v>1232</v>
      </c>
      <c r="C36" s="814" t="s">
        <v>1354</v>
      </c>
      <c r="D36" s="814" t="s">
        <v>29</v>
      </c>
    </row>
    <row r="37" spans="1:4" x14ac:dyDescent="0.25">
      <c r="A37" s="988" t="s">
        <v>1155</v>
      </c>
      <c r="B37" s="987" t="s">
        <v>1243</v>
      </c>
      <c r="C37" s="814" t="s">
        <v>1354</v>
      </c>
      <c r="D37" s="814" t="s">
        <v>29</v>
      </c>
    </row>
    <row r="38" spans="1:4" x14ac:dyDescent="0.25">
      <c r="A38" s="988" t="s">
        <v>1153</v>
      </c>
      <c r="B38" s="987" t="s">
        <v>1233</v>
      </c>
      <c r="C38" s="814" t="s">
        <v>1354</v>
      </c>
      <c r="D38" s="814" t="s">
        <v>29</v>
      </c>
    </row>
    <row r="39" spans="1:4" x14ac:dyDescent="0.25">
      <c r="A39" s="988" t="s">
        <v>1152</v>
      </c>
      <c r="B39" s="987" t="s">
        <v>1091</v>
      </c>
      <c r="C39" s="814" t="s">
        <v>1354</v>
      </c>
      <c r="D39" s="814" t="s">
        <v>29</v>
      </c>
    </row>
    <row r="40" spans="1:4" x14ac:dyDescent="0.25">
      <c r="A40" s="988" t="s">
        <v>1150</v>
      </c>
      <c r="B40" s="987" t="s">
        <v>1244</v>
      </c>
      <c r="C40" s="814" t="s">
        <v>1354</v>
      </c>
      <c r="D40" s="814" t="s">
        <v>29</v>
      </c>
    </row>
    <row r="41" spans="1:4" x14ac:dyDescent="0.25">
      <c r="A41" s="988">
        <v>5.1100000000000003</v>
      </c>
      <c r="B41" s="987" t="s">
        <v>1356</v>
      </c>
      <c r="C41" s="814" t="s">
        <v>1354</v>
      </c>
      <c r="D41" s="814" t="s">
        <v>29</v>
      </c>
    </row>
    <row r="42" spans="1:4" x14ac:dyDescent="0.25">
      <c r="A42" s="988">
        <v>5.12</v>
      </c>
      <c r="B42" s="987" t="s">
        <v>1356</v>
      </c>
      <c r="C42" s="814" t="s">
        <v>1354</v>
      </c>
      <c r="D42" s="814" t="s">
        <v>29</v>
      </c>
    </row>
    <row r="43" spans="1:4" x14ac:dyDescent="0.25">
      <c r="A43" s="990">
        <v>5.13</v>
      </c>
      <c r="B43" s="991" t="s">
        <v>1356</v>
      </c>
      <c r="C43" s="814" t="s">
        <v>1354</v>
      </c>
      <c r="D43" s="814" t="s">
        <v>29</v>
      </c>
    </row>
    <row r="44" spans="1:4" x14ac:dyDescent="0.25">
      <c r="A44" s="984" t="s">
        <v>1147</v>
      </c>
      <c r="B44" s="985" t="s">
        <v>1091</v>
      </c>
      <c r="C44" s="814" t="s">
        <v>1354</v>
      </c>
      <c r="D44" s="814" t="s">
        <v>29</v>
      </c>
    </row>
    <row r="45" spans="1:4" x14ac:dyDescent="0.25">
      <c r="A45" s="988" t="s">
        <v>1145</v>
      </c>
      <c r="B45" s="987" t="s">
        <v>1091</v>
      </c>
      <c r="C45" s="814" t="s">
        <v>1354</v>
      </c>
      <c r="D45" s="814" t="s">
        <v>29</v>
      </c>
    </row>
    <row r="46" spans="1:4" x14ac:dyDescent="0.25">
      <c r="A46" s="988" t="s">
        <v>1143</v>
      </c>
      <c r="B46" s="987" t="s">
        <v>1234</v>
      </c>
      <c r="C46" s="814" t="s">
        <v>1354</v>
      </c>
      <c r="D46" s="814" t="s">
        <v>29</v>
      </c>
    </row>
    <row r="47" spans="1:4" x14ac:dyDescent="0.25">
      <c r="A47" s="988" t="s">
        <v>1141</v>
      </c>
      <c r="B47" s="987" t="s">
        <v>1235</v>
      </c>
      <c r="C47" s="814" t="s">
        <v>1354</v>
      </c>
      <c r="D47" s="814" t="s">
        <v>29</v>
      </c>
    </row>
    <row r="48" spans="1:4" x14ac:dyDescent="0.25">
      <c r="A48" s="988" t="s">
        <v>1139</v>
      </c>
      <c r="B48" s="987" t="s">
        <v>1234</v>
      </c>
      <c r="C48" s="814" t="s">
        <v>1354</v>
      </c>
      <c r="D48" s="814" t="s">
        <v>29</v>
      </c>
    </row>
    <row r="49" spans="1:4" x14ac:dyDescent="0.25">
      <c r="A49" s="988" t="s">
        <v>1137</v>
      </c>
      <c r="B49" s="987" t="s">
        <v>1234</v>
      </c>
      <c r="C49" s="814" t="s">
        <v>1354</v>
      </c>
      <c r="D49" s="814" t="s">
        <v>29</v>
      </c>
    </row>
    <row r="50" spans="1:4" x14ac:dyDescent="0.25">
      <c r="A50" s="988" t="s">
        <v>1135</v>
      </c>
      <c r="B50" s="987" t="s">
        <v>1237</v>
      </c>
      <c r="C50" s="814" t="s">
        <v>1354</v>
      </c>
      <c r="D50" s="814" t="s">
        <v>29</v>
      </c>
    </row>
    <row r="51" spans="1:4" x14ac:dyDescent="0.25">
      <c r="A51" s="988" t="s">
        <v>1133</v>
      </c>
      <c r="B51" s="987" t="s">
        <v>1237</v>
      </c>
      <c r="C51" s="814" t="s">
        <v>1354</v>
      </c>
      <c r="D51" s="814" t="s">
        <v>29</v>
      </c>
    </row>
    <row r="52" spans="1:4" x14ac:dyDescent="0.25">
      <c r="A52" s="990" t="s">
        <v>1131</v>
      </c>
      <c r="B52" s="991" t="s">
        <v>1245</v>
      </c>
      <c r="C52" s="814" t="s">
        <v>1354</v>
      </c>
      <c r="D52" s="814" t="s">
        <v>29</v>
      </c>
    </row>
    <row r="53" spans="1:4" x14ac:dyDescent="0.25">
      <c r="A53" s="984" t="s">
        <v>1127</v>
      </c>
      <c r="B53" s="985" t="s">
        <v>1091</v>
      </c>
      <c r="C53" s="814" t="s">
        <v>1354</v>
      </c>
      <c r="D53" s="814" t="s">
        <v>29</v>
      </c>
    </row>
    <row r="54" spans="1:4" x14ac:dyDescent="0.25">
      <c r="A54" s="988" t="s">
        <v>1125</v>
      </c>
      <c r="B54" s="989" t="s">
        <v>1124</v>
      </c>
      <c r="C54" s="814" t="s">
        <v>1354</v>
      </c>
      <c r="D54" s="814" t="s">
        <v>29</v>
      </c>
    </row>
    <row r="55" spans="1:4" x14ac:dyDescent="0.25">
      <c r="A55" s="988" t="s">
        <v>1123</v>
      </c>
      <c r="B55" s="987" t="s">
        <v>1246</v>
      </c>
      <c r="C55" s="814" t="s">
        <v>1354</v>
      </c>
      <c r="D55" s="814" t="s">
        <v>29</v>
      </c>
    </row>
    <row r="56" spans="1:4" x14ac:dyDescent="0.25">
      <c r="A56" s="988" t="s">
        <v>1121</v>
      </c>
      <c r="B56" s="987" t="s">
        <v>1091</v>
      </c>
      <c r="C56" s="814" t="s">
        <v>1354</v>
      </c>
      <c r="D56" s="814" t="s">
        <v>29</v>
      </c>
    </row>
    <row r="57" spans="1:4" x14ac:dyDescent="0.25">
      <c r="A57" s="986" t="s">
        <v>1215</v>
      </c>
      <c r="B57" s="987" t="s">
        <v>1356</v>
      </c>
      <c r="C57" s="814" t="s">
        <v>1354</v>
      </c>
      <c r="D57" s="814" t="s">
        <v>29</v>
      </c>
    </row>
    <row r="58" spans="1:4" x14ac:dyDescent="0.25">
      <c r="A58" s="988" t="s">
        <v>1120</v>
      </c>
      <c r="B58" s="987" t="s">
        <v>1091</v>
      </c>
      <c r="C58" s="814" t="s">
        <v>1354</v>
      </c>
      <c r="D58" s="814" t="s">
        <v>29</v>
      </c>
    </row>
    <row r="59" spans="1:4" x14ac:dyDescent="0.25">
      <c r="A59" s="986" t="s">
        <v>1216</v>
      </c>
      <c r="B59" s="987" t="s">
        <v>1356</v>
      </c>
      <c r="C59" s="814" t="s">
        <v>1354</v>
      </c>
      <c r="D59" s="814" t="s">
        <v>29</v>
      </c>
    </row>
    <row r="60" spans="1:4" x14ac:dyDescent="0.25">
      <c r="A60" s="988">
        <v>7.5</v>
      </c>
      <c r="B60" s="987" t="s">
        <v>1091</v>
      </c>
      <c r="C60" s="814" t="s">
        <v>1354</v>
      </c>
      <c r="D60" s="814" t="s">
        <v>29</v>
      </c>
    </row>
    <row r="61" spans="1:4" x14ac:dyDescent="0.25">
      <c r="A61" s="988">
        <v>7.6</v>
      </c>
      <c r="B61" s="987" t="s">
        <v>1091</v>
      </c>
      <c r="C61" s="814" t="s">
        <v>1354</v>
      </c>
      <c r="D61" s="814" t="s">
        <v>29</v>
      </c>
    </row>
    <row r="62" spans="1:4" x14ac:dyDescent="0.25">
      <c r="A62" s="988">
        <v>7.7</v>
      </c>
      <c r="B62" s="987" t="s">
        <v>1091</v>
      </c>
      <c r="C62" s="814" t="s">
        <v>1354</v>
      </c>
      <c r="D62" s="814" t="s">
        <v>29</v>
      </c>
    </row>
    <row r="63" spans="1:4" x14ac:dyDescent="0.25">
      <c r="A63" s="988">
        <v>7.8</v>
      </c>
      <c r="B63" s="987" t="s">
        <v>1091</v>
      </c>
      <c r="C63" s="814" t="s">
        <v>1354</v>
      </c>
      <c r="D63" s="814" t="s">
        <v>29</v>
      </c>
    </row>
    <row r="64" spans="1:4" x14ac:dyDescent="0.25">
      <c r="A64" s="1000" t="s">
        <v>1115</v>
      </c>
      <c r="B64" s="987" t="s">
        <v>1091</v>
      </c>
      <c r="C64" s="814" t="s">
        <v>1354</v>
      </c>
      <c r="D64" s="814" t="s">
        <v>29</v>
      </c>
    </row>
    <row r="65" spans="1:4" x14ac:dyDescent="0.25">
      <c r="A65" s="988" t="s">
        <v>1114</v>
      </c>
      <c r="B65" s="987" t="s">
        <v>1091</v>
      </c>
      <c r="C65" s="814" t="s">
        <v>1354</v>
      </c>
      <c r="D65" s="814" t="s">
        <v>29</v>
      </c>
    </row>
    <row r="66" spans="1:4" x14ac:dyDescent="0.25">
      <c r="A66" s="988" t="s">
        <v>1112</v>
      </c>
      <c r="B66" s="987" t="s">
        <v>1091</v>
      </c>
      <c r="C66" s="814" t="s">
        <v>1354</v>
      </c>
      <c r="D66" s="814" t="s">
        <v>29</v>
      </c>
    </row>
    <row r="67" spans="1:4" x14ac:dyDescent="0.25">
      <c r="A67" s="988" t="s">
        <v>1110</v>
      </c>
      <c r="B67" s="987" t="s">
        <v>1091</v>
      </c>
      <c r="C67" s="814" t="s">
        <v>1354</v>
      </c>
      <c r="D67" s="814" t="s">
        <v>29</v>
      </c>
    </row>
    <row r="68" spans="1:4" x14ac:dyDescent="0.25">
      <c r="A68" s="988">
        <v>7.11</v>
      </c>
      <c r="B68" s="987" t="s">
        <v>1091</v>
      </c>
      <c r="C68" s="814" t="s">
        <v>1354</v>
      </c>
      <c r="D68" s="814" t="s">
        <v>29</v>
      </c>
    </row>
    <row r="69" spans="1:4" x14ac:dyDescent="0.25">
      <c r="A69" s="988">
        <v>7.12</v>
      </c>
      <c r="B69" s="987" t="s">
        <v>1091</v>
      </c>
      <c r="C69" s="814" t="s">
        <v>1354</v>
      </c>
      <c r="D69" s="814" t="s">
        <v>29</v>
      </c>
    </row>
    <row r="70" spans="1:4" x14ac:dyDescent="0.25">
      <c r="A70" s="988">
        <v>7.13</v>
      </c>
      <c r="B70" s="987" t="s">
        <v>1359</v>
      </c>
      <c r="C70" s="814" t="s">
        <v>1354</v>
      </c>
      <c r="D70" s="814" t="s">
        <v>29</v>
      </c>
    </row>
    <row r="71" spans="1:4" x14ac:dyDescent="0.25">
      <c r="A71" s="988">
        <v>7.14</v>
      </c>
      <c r="B71" s="987" t="s">
        <v>1091</v>
      </c>
      <c r="C71" s="814" t="s">
        <v>1354</v>
      </c>
      <c r="D71" s="814" t="s">
        <v>29</v>
      </c>
    </row>
    <row r="72" spans="1:4" x14ac:dyDescent="0.25">
      <c r="A72" s="988">
        <v>7.15</v>
      </c>
      <c r="B72" s="987" t="s">
        <v>1091</v>
      </c>
      <c r="C72" s="814" t="s">
        <v>1354</v>
      </c>
      <c r="D72" s="814" t="s">
        <v>29</v>
      </c>
    </row>
    <row r="73" spans="1:4" x14ac:dyDescent="0.25">
      <c r="A73" s="988">
        <v>7.16</v>
      </c>
      <c r="B73" s="987" t="s">
        <v>1091</v>
      </c>
      <c r="C73" s="814" t="s">
        <v>1354</v>
      </c>
      <c r="D73" s="814" t="s">
        <v>29</v>
      </c>
    </row>
    <row r="74" spans="1:4" x14ac:dyDescent="0.25">
      <c r="A74" s="990">
        <v>7.17</v>
      </c>
      <c r="B74" s="991" t="s">
        <v>1247</v>
      </c>
      <c r="C74" s="814" t="s">
        <v>1354</v>
      </c>
      <c r="D74" s="814" t="s">
        <v>29</v>
      </c>
    </row>
    <row r="75" spans="1:4" x14ac:dyDescent="0.25">
      <c r="A75" s="984" t="s">
        <v>1097</v>
      </c>
      <c r="B75" s="985" t="s">
        <v>1091</v>
      </c>
      <c r="C75" s="814" t="s">
        <v>1354</v>
      </c>
      <c r="D75" s="814" t="s">
        <v>29</v>
      </c>
    </row>
    <row r="76" spans="1:4" x14ac:dyDescent="0.25">
      <c r="A76" s="988" t="s">
        <v>1095</v>
      </c>
      <c r="B76" s="987" t="s">
        <v>1091</v>
      </c>
      <c r="C76" s="814" t="s">
        <v>1354</v>
      </c>
      <c r="D76" s="814" t="s">
        <v>29</v>
      </c>
    </row>
    <row r="77" spans="1:4" x14ac:dyDescent="0.25">
      <c r="A77" s="988" t="s">
        <v>1093</v>
      </c>
      <c r="B77" s="987" t="s">
        <v>1091</v>
      </c>
      <c r="C77" s="814" t="s">
        <v>1354</v>
      </c>
      <c r="D77" s="814" t="s">
        <v>29</v>
      </c>
    </row>
    <row r="78" spans="1:4" x14ac:dyDescent="0.25">
      <c r="A78" s="988" t="s">
        <v>1090</v>
      </c>
      <c r="B78" s="987" t="s">
        <v>1247</v>
      </c>
      <c r="C78" s="814" t="s">
        <v>1354</v>
      </c>
      <c r="D78" s="814" t="s">
        <v>29</v>
      </c>
    </row>
    <row r="79" spans="1:4" x14ac:dyDescent="0.25">
      <c r="A79" s="990" t="s">
        <v>1088</v>
      </c>
      <c r="B79" s="991" t="s">
        <v>1248</v>
      </c>
      <c r="C79" s="814" t="s">
        <v>1354</v>
      </c>
      <c r="D79" s="814" t="s">
        <v>29</v>
      </c>
    </row>
    <row r="80" spans="1:4" x14ac:dyDescent="0.25">
      <c r="A80" s="955">
        <v>1.1000000000000001</v>
      </c>
      <c r="B80" s="956" t="s">
        <v>1091</v>
      </c>
      <c r="C80" s="1817" t="s">
        <v>1354</v>
      </c>
      <c r="D80" s="814" t="s">
        <v>1360</v>
      </c>
    </row>
    <row r="81" spans="1:4" x14ac:dyDescent="0.25">
      <c r="A81" s="957">
        <v>1.2</v>
      </c>
      <c r="B81" s="958" t="s">
        <v>1236</v>
      </c>
      <c r="C81" s="1817" t="s">
        <v>1354</v>
      </c>
      <c r="D81" s="814" t="s">
        <v>1360</v>
      </c>
    </row>
    <row r="82" spans="1:4" x14ac:dyDescent="0.25">
      <c r="A82" s="967">
        <v>2.1</v>
      </c>
      <c r="B82" s="956" t="s">
        <v>1091</v>
      </c>
      <c r="C82" s="1817" t="s">
        <v>1354</v>
      </c>
      <c r="D82" s="814" t="s">
        <v>1360</v>
      </c>
    </row>
    <row r="83" spans="1:4" x14ac:dyDescent="0.25">
      <c r="A83" s="968">
        <v>2.2000000000000002</v>
      </c>
      <c r="B83" s="969" t="s">
        <v>1356</v>
      </c>
      <c r="C83" s="1817" t="s">
        <v>1354</v>
      </c>
      <c r="D83" s="814" t="s">
        <v>1360</v>
      </c>
    </row>
    <row r="84" spans="1:4" x14ac:dyDescent="0.25">
      <c r="A84" s="968">
        <v>2.2999999999999998</v>
      </c>
      <c r="B84" s="969" t="s">
        <v>1091</v>
      </c>
      <c r="C84" s="1817" t="s">
        <v>1354</v>
      </c>
      <c r="D84" s="814" t="s">
        <v>1360</v>
      </c>
    </row>
    <row r="85" spans="1:4" x14ac:dyDescent="0.25">
      <c r="A85" s="968">
        <v>2.4</v>
      </c>
      <c r="B85" s="969" t="s">
        <v>1237</v>
      </c>
      <c r="C85" s="1817" t="s">
        <v>1354</v>
      </c>
      <c r="D85" s="814" t="s">
        <v>1360</v>
      </c>
    </row>
    <row r="86" spans="1:4" x14ac:dyDescent="0.25">
      <c r="A86" s="968">
        <v>2.5</v>
      </c>
      <c r="B86" s="969" t="s">
        <v>1355</v>
      </c>
      <c r="C86" s="1817" t="s">
        <v>1354</v>
      </c>
      <c r="D86" s="814" t="s">
        <v>1360</v>
      </c>
    </row>
    <row r="87" spans="1:4" x14ac:dyDescent="0.25">
      <c r="A87" s="968">
        <v>2.6</v>
      </c>
      <c r="B87" s="969" t="s">
        <v>1238</v>
      </c>
      <c r="C87" s="1817" t="s">
        <v>1354</v>
      </c>
      <c r="D87" s="814" t="s">
        <v>1360</v>
      </c>
    </row>
    <row r="88" spans="1:4" x14ac:dyDescent="0.25">
      <c r="A88" s="971" t="s">
        <v>1219</v>
      </c>
      <c r="B88" s="969" t="s">
        <v>1356</v>
      </c>
      <c r="C88" s="1817" t="s">
        <v>1354</v>
      </c>
      <c r="D88" s="814" t="s">
        <v>1360</v>
      </c>
    </row>
    <row r="89" spans="1:4" x14ac:dyDescent="0.25">
      <c r="A89" s="968" t="s">
        <v>1200</v>
      </c>
      <c r="B89" s="969" t="s">
        <v>1357</v>
      </c>
      <c r="C89" s="1817" t="s">
        <v>1354</v>
      </c>
      <c r="D89" s="814" t="s">
        <v>1360</v>
      </c>
    </row>
    <row r="90" spans="1:4" x14ac:dyDescent="0.25">
      <c r="A90" s="968">
        <v>2.8</v>
      </c>
      <c r="B90" s="969" t="s">
        <v>1241</v>
      </c>
      <c r="C90" s="1817" t="s">
        <v>1354</v>
      </c>
      <c r="D90" s="814" t="s">
        <v>1360</v>
      </c>
    </row>
    <row r="91" spans="1:4" x14ac:dyDescent="0.25">
      <c r="A91" s="968">
        <v>2.9</v>
      </c>
      <c r="B91" s="969" t="s">
        <v>1239</v>
      </c>
      <c r="C91" s="1817" t="s">
        <v>1354</v>
      </c>
      <c r="D91" s="814" t="s">
        <v>1360</v>
      </c>
    </row>
    <row r="92" spans="1:4" x14ac:dyDescent="0.25">
      <c r="A92" s="974" t="s">
        <v>1196</v>
      </c>
      <c r="B92" s="958" t="s">
        <v>1238</v>
      </c>
      <c r="C92" s="1817" t="s">
        <v>1354</v>
      </c>
      <c r="D92" s="814" t="s">
        <v>1360</v>
      </c>
    </row>
    <row r="93" spans="1:4" x14ac:dyDescent="0.25">
      <c r="A93" s="967" t="s">
        <v>1192</v>
      </c>
      <c r="B93" s="956" t="s">
        <v>1091</v>
      </c>
      <c r="C93" s="1817" t="s">
        <v>1354</v>
      </c>
      <c r="D93" s="814" t="s">
        <v>1360</v>
      </c>
    </row>
    <row r="94" spans="1:4" x14ac:dyDescent="0.25">
      <c r="A94" s="968" t="s">
        <v>1190</v>
      </c>
      <c r="B94" s="969" t="s">
        <v>1091</v>
      </c>
      <c r="C94" s="1817" t="s">
        <v>1354</v>
      </c>
      <c r="D94" s="814" t="s">
        <v>1360</v>
      </c>
    </row>
    <row r="95" spans="1:4" x14ac:dyDescent="0.25">
      <c r="A95" s="968" t="s">
        <v>1188</v>
      </c>
      <c r="B95" s="975" t="s">
        <v>1187</v>
      </c>
      <c r="C95" s="1817" t="s">
        <v>1354</v>
      </c>
      <c r="D95" s="814" t="s">
        <v>1360</v>
      </c>
    </row>
    <row r="96" spans="1:4" x14ac:dyDescent="0.25">
      <c r="A96" s="968" t="s">
        <v>1186</v>
      </c>
      <c r="B96" s="969" t="s">
        <v>1237</v>
      </c>
      <c r="C96" s="1817" t="s">
        <v>1354</v>
      </c>
      <c r="D96" s="814" t="s">
        <v>1360</v>
      </c>
    </row>
    <row r="97" spans="1:4" x14ac:dyDescent="0.25">
      <c r="A97" s="968" t="s">
        <v>1185</v>
      </c>
      <c r="B97" s="969" t="s">
        <v>1234</v>
      </c>
      <c r="C97" s="1817" t="s">
        <v>1354</v>
      </c>
      <c r="D97" s="814" t="s">
        <v>1360</v>
      </c>
    </row>
    <row r="98" spans="1:4" x14ac:dyDescent="0.25">
      <c r="A98" s="968" t="s">
        <v>1183</v>
      </c>
      <c r="B98" s="975" t="s">
        <v>1181</v>
      </c>
      <c r="C98" s="1817" t="s">
        <v>1354</v>
      </c>
      <c r="D98" s="814" t="s">
        <v>1360</v>
      </c>
    </row>
    <row r="99" spans="1:4" x14ac:dyDescent="0.25">
      <c r="A99" s="968" t="s">
        <v>1180</v>
      </c>
      <c r="B99" s="969" t="s">
        <v>1240</v>
      </c>
      <c r="C99" s="1817" t="s">
        <v>1354</v>
      </c>
      <c r="D99" s="814" t="s">
        <v>1360</v>
      </c>
    </row>
    <row r="100" spans="1:4" x14ac:dyDescent="0.25">
      <c r="A100" s="968" t="s">
        <v>1178</v>
      </c>
      <c r="B100" s="958" t="s">
        <v>1091</v>
      </c>
      <c r="C100" s="1817" t="s">
        <v>1354</v>
      </c>
      <c r="D100" s="814" t="s">
        <v>1360</v>
      </c>
    </row>
    <row r="101" spans="1:4" x14ac:dyDescent="0.25">
      <c r="A101" s="976" t="s">
        <v>1174</v>
      </c>
      <c r="B101" s="977" t="s">
        <v>1091</v>
      </c>
      <c r="C101" s="1817" t="s">
        <v>1354</v>
      </c>
      <c r="D101" s="814" t="s">
        <v>1360</v>
      </c>
    </row>
    <row r="102" spans="1:4" x14ac:dyDescent="0.25">
      <c r="A102" s="978" t="s">
        <v>1173</v>
      </c>
      <c r="B102" s="979" t="s">
        <v>1240</v>
      </c>
      <c r="C102" s="1817" t="s">
        <v>1354</v>
      </c>
      <c r="D102" s="814" t="s">
        <v>1360</v>
      </c>
    </row>
    <row r="103" spans="1:4" x14ac:dyDescent="0.25">
      <c r="A103" s="978" t="s">
        <v>1172</v>
      </c>
      <c r="B103" s="980" t="s">
        <v>1242</v>
      </c>
      <c r="C103" s="1817" t="s">
        <v>1354</v>
      </c>
      <c r="D103" s="814" t="s">
        <v>1360</v>
      </c>
    </row>
    <row r="104" spans="1:4" x14ac:dyDescent="0.25">
      <c r="A104" s="984" t="s">
        <v>1168</v>
      </c>
      <c r="B104" s="985" t="s">
        <v>1356</v>
      </c>
      <c r="C104" s="1817" t="s">
        <v>1354</v>
      </c>
      <c r="D104" s="814" t="s">
        <v>1360</v>
      </c>
    </row>
    <row r="105" spans="1:4" x14ac:dyDescent="0.25">
      <c r="A105" s="986" t="s">
        <v>1212</v>
      </c>
      <c r="B105" s="987" t="s">
        <v>1091</v>
      </c>
      <c r="C105" s="1817" t="s">
        <v>1354</v>
      </c>
      <c r="D105" s="814" t="s">
        <v>1360</v>
      </c>
    </row>
    <row r="106" spans="1:4" x14ac:dyDescent="0.25">
      <c r="A106" s="988" t="s">
        <v>1167</v>
      </c>
      <c r="B106" s="987" t="s">
        <v>1356</v>
      </c>
      <c r="C106" s="1817" t="s">
        <v>1354</v>
      </c>
      <c r="D106" s="814" t="s">
        <v>1360</v>
      </c>
    </row>
    <row r="107" spans="1:4" x14ac:dyDescent="0.25">
      <c r="A107" s="986" t="s">
        <v>1213</v>
      </c>
      <c r="B107" s="987" t="s">
        <v>1237</v>
      </c>
      <c r="C107" s="1817" t="s">
        <v>1354</v>
      </c>
      <c r="D107" s="814" t="s">
        <v>1360</v>
      </c>
    </row>
    <row r="108" spans="1:4" x14ac:dyDescent="0.25">
      <c r="A108" s="988" t="s">
        <v>1166</v>
      </c>
      <c r="B108" s="987" t="s">
        <v>1091</v>
      </c>
      <c r="C108" s="1817" t="s">
        <v>1354</v>
      </c>
      <c r="D108" s="814" t="s">
        <v>1360</v>
      </c>
    </row>
    <row r="109" spans="1:4" x14ac:dyDescent="0.25">
      <c r="A109" s="988" t="s">
        <v>1164</v>
      </c>
      <c r="B109" s="989" t="s">
        <v>1162</v>
      </c>
      <c r="C109" s="1817" t="s">
        <v>1354</v>
      </c>
      <c r="D109" s="814" t="s">
        <v>1360</v>
      </c>
    </row>
    <row r="110" spans="1:4" x14ac:dyDescent="0.25">
      <c r="A110" s="988" t="s">
        <v>1161</v>
      </c>
      <c r="B110" s="987" t="s">
        <v>1238</v>
      </c>
      <c r="C110" s="1817" t="s">
        <v>1354</v>
      </c>
      <c r="D110" s="814" t="s">
        <v>1360</v>
      </c>
    </row>
    <row r="111" spans="1:4" x14ac:dyDescent="0.25">
      <c r="A111" s="988" t="s">
        <v>1159</v>
      </c>
      <c r="B111" s="987" t="s">
        <v>1091</v>
      </c>
      <c r="C111" s="1817" t="s">
        <v>1354</v>
      </c>
      <c r="D111" s="814" t="s">
        <v>1360</v>
      </c>
    </row>
    <row r="112" spans="1:4" x14ac:dyDescent="0.25">
      <c r="A112" s="988" t="s">
        <v>1157</v>
      </c>
      <c r="B112" s="987" t="s">
        <v>1356</v>
      </c>
      <c r="C112" s="1817" t="s">
        <v>1354</v>
      </c>
      <c r="D112" s="814" t="s">
        <v>1360</v>
      </c>
    </row>
    <row r="113" spans="1:4" x14ac:dyDescent="0.25">
      <c r="A113" s="986" t="s">
        <v>1214</v>
      </c>
      <c r="B113" s="987" t="s">
        <v>1248</v>
      </c>
      <c r="C113" s="1817" t="s">
        <v>1354</v>
      </c>
      <c r="D113" s="814" t="s">
        <v>1360</v>
      </c>
    </row>
    <row r="114" spans="1:4" x14ac:dyDescent="0.25">
      <c r="A114" s="988" t="s">
        <v>1156</v>
      </c>
      <c r="B114" s="987" t="s">
        <v>1232</v>
      </c>
      <c r="C114" s="1817" t="s">
        <v>1354</v>
      </c>
      <c r="D114" s="814" t="s">
        <v>1360</v>
      </c>
    </row>
    <row r="115" spans="1:4" x14ac:dyDescent="0.25">
      <c r="A115" s="988" t="s">
        <v>1155</v>
      </c>
      <c r="B115" s="987" t="s">
        <v>1243</v>
      </c>
      <c r="C115" s="1817" t="s">
        <v>1354</v>
      </c>
      <c r="D115" s="814" t="s">
        <v>1360</v>
      </c>
    </row>
    <row r="116" spans="1:4" x14ac:dyDescent="0.25">
      <c r="A116" s="988" t="s">
        <v>1153</v>
      </c>
      <c r="B116" s="987" t="s">
        <v>1233</v>
      </c>
      <c r="C116" s="1817" t="s">
        <v>1354</v>
      </c>
      <c r="D116" s="814" t="s">
        <v>1360</v>
      </c>
    </row>
    <row r="117" spans="1:4" x14ac:dyDescent="0.25">
      <c r="A117" s="988" t="s">
        <v>1152</v>
      </c>
      <c r="B117" s="987" t="s">
        <v>1091</v>
      </c>
      <c r="C117" s="1817" t="s">
        <v>1354</v>
      </c>
      <c r="D117" s="814" t="s">
        <v>1360</v>
      </c>
    </row>
    <row r="118" spans="1:4" x14ac:dyDescent="0.25">
      <c r="A118" s="988" t="s">
        <v>1150</v>
      </c>
      <c r="B118" s="987" t="s">
        <v>1244</v>
      </c>
      <c r="C118" s="1817" t="s">
        <v>1354</v>
      </c>
      <c r="D118" s="814" t="s">
        <v>1360</v>
      </c>
    </row>
    <row r="119" spans="1:4" x14ac:dyDescent="0.25">
      <c r="A119" s="988">
        <v>5.1100000000000003</v>
      </c>
      <c r="B119" s="987" t="s">
        <v>1361</v>
      </c>
      <c r="C119" s="1817" t="s">
        <v>1354</v>
      </c>
      <c r="D119" s="814" t="s">
        <v>1360</v>
      </c>
    </row>
    <row r="120" spans="1:4" x14ac:dyDescent="0.25">
      <c r="A120" s="988">
        <v>5.12</v>
      </c>
      <c r="B120" s="987" t="s">
        <v>1239</v>
      </c>
      <c r="C120" s="1817" t="s">
        <v>1354</v>
      </c>
      <c r="D120" s="814" t="s">
        <v>1360</v>
      </c>
    </row>
    <row r="121" spans="1:4" x14ac:dyDescent="0.25">
      <c r="A121" s="990">
        <v>5.13</v>
      </c>
      <c r="B121" s="991" t="s">
        <v>1362</v>
      </c>
      <c r="C121" s="1817" t="s">
        <v>1354</v>
      </c>
      <c r="D121" s="814" t="s">
        <v>1360</v>
      </c>
    </row>
    <row r="122" spans="1:4" x14ac:dyDescent="0.25">
      <c r="A122" s="984" t="s">
        <v>1147</v>
      </c>
      <c r="B122" s="985" t="s">
        <v>1091</v>
      </c>
      <c r="C122" s="1817" t="s">
        <v>1354</v>
      </c>
      <c r="D122" s="814" t="s">
        <v>1360</v>
      </c>
    </row>
    <row r="123" spans="1:4" x14ac:dyDescent="0.25">
      <c r="A123" s="988" t="s">
        <v>1145</v>
      </c>
      <c r="B123" s="987" t="s">
        <v>1091</v>
      </c>
      <c r="C123" s="1817" t="s">
        <v>1354</v>
      </c>
      <c r="D123" s="814" t="s">
        <v>1360</v>
      </c>
    </row>
    <row r="124" spans="1:4" x14ac:dyDescent="0.25">
      <c r="A124" s="988" t="s">
        <v>1143</v>
      </c>
      <c r="B124" s="987" t="s">
        <v>1234</v>
      </c>
      <c r="C124" s="1817" t="s">
        <v>1354</v>
      </c>
      <c r="D124" s="814" t="s">
        <v>1360</v>
      </c>
    </row>
    <row r="125" spans="1:4" x14ac:dyDescent="0.25">
      <c r="A125" s="988" t="s">
        <v>1141</v>
      </c>
      <c r="B125" s="987" t="s">
        <v>1235</v>
      </c>
      <c r="C125" s="1817" t="s">
        <v>1354</v>
      </c>
      <c r="D125" s="814" t="s">
        <v>1360</v>
      </c>
    </row>
    <row r="126" spans="1:4" x14ac:dyDescent="0.25">
      <c r="A126" s="988" t="s">
        <v>1139</v>
      </c>
      <c r="B126" s="987" t="s">
        <v>1234</v>
      </c>
      <c r="C126" s="1817" t="s">
        <v>1354</v>
      </c>
      <c r="D126" s="814" t="s">
        <v>1360</v>
      </c>
    </row>
    <row r="127" spans="1:4" x14ac:dyDescent="0.25">
      <c r="A127" s="988" t="s">
        <v>1137</v>
      </c>
      <c r="B127" s="987" t="s">
        <v>1234</v>
      </c>
      <c r="C127" s="1817" t="s">
        <v>1354</v>
      </c>
      <c r="D127" s="814" t="s">
        <v>1360</v>
      </c>
    </row>
    <row r="128" spans="1:4" x14ac:dyDescent="0.25">
      <c r="A128" s="988" t="s">
        <v>1135</v>
      </c>
      <c r="B128" s="987" t="s">
        <v>1237</v>
      </c>
      <c r="C128" s="1817" t="s">
        <v>1354</v>
      </c>
      <c r="D128" s="814" t="s">
        <v>1360</v>
      </c>
    </row>
    <row r="129" spans="1:4" x14ac:dyDescent="0.25">
      <c r="A129" s="988" t="s">
        <v>1133</v>
      </c>
      <c r="B129" s="987" t="s">
        <v>1237</v>
      </c>
      <c r="C129" s="1817" t="s">
        <v>1354</v>
      </c>
      <c r="D129" s="814" t="s">
        <v>1360</v>
      </c>
    </row>
    <row r="130" spans="1:4" x14ac:dyDescent="0.25">
      <c r="A130" s="990" t="s">
        <v>1131</v>
      </c>
      <c r="B130" s="991" t="s">
        <v>1245</v>
      </c>
      <c r="C130" s="1817" t="s">
        <v>1354</v>
      </c>
      <c r="D130" s="814" t="s">
        <v>1360</v>
      </c>
    </row>
    <row r="131" spans="1:4" x14ac:dyDescent="0.25">
      <c r="A131" s="984" t="s">
        <v>1127</v>
      </c>
      <c r="B131" s="985" t="s">
        <v>1091</v>
      </c>
      <c r="C131" s="1817" t="s">
        <v>1354</v>
      </c>
      <c r="D131" s="814" t="s">
        <v>1360</v>
      </c>
    </row>
    <row r="132" spans="1:4" x14ac:dyDescent="0.25">
      <c r="A132" s="988" t="s">
        <v>1125</v>
      </c>
      <c r="B132" s="989" t="s">
        <v>1124</v>
      </c>
      <c r="C132" s="1817" t="s">
        <v>1354</v>
      </c>
      <c r="D132" s="814" t="s">
        <v>1360</v>
      </c>
    </row>
    <row r="133" spans="1:4" x14ac:dyDescent="0.25">
      <c r="A133" s="988" t="s">
        <v>1123</v>
      </c>
      <c r="B133" s="987" t="s">
        <v>1246</v>
      </c>
      <c r="C133" s="1817" t="s">
        <v>1354</v>
      </c>
      <c r="D133" s="814" t="s">
        <v>1360</v>
      </c>
    </row>
    <row r="134" spans="1:4" x14ac:dyDescent="0.25">
      <c r="A134" s="988" t="s">
        <v>1121</v>
      </c>
      <c r="B134" s="987" t="s">
        <v>1356</v>
      </c>
      <c r="C134" s="1817" t="s">
        <v>1354</v>
      </c>
      <c r="D134" s="814" t="s">
        <v>1360</v>
      </c>
    </row>
    <row r="135" spans="1:4" x14ac:dyDescent="0.25">
      <c r="A135" s="986" t="s">
        <v>1215</v>
      </c>
      <c r="B135" s="987" t="s">
        <v>1237</v>
      </c>
      <c r="C135" s="1817" t="s">
        <v>1354</v>
      </c>
      <c r="D135" s="814" t="s">
        <v>1360</v>
      </c>
    </row>
    <row r="136" spans="1:4" x14ac:dyDescent="0.25">
      <c r="A136" s="988" t="s">
        <v>1120</v>
      </c>
      <c r="B136" s="987" t="s">
        <v>1356</v>
      </c>
      <c r="C136" s="1817" t="s">
        <v>1354</v>
      </c>
      <c r="D136" s="814" t="s">
        <v>1360</v>
      </c>
    </row>
    <row r="137" spans="1:4" x14ac:dyDescent="0.25">
      <c r="A137" s="986" t="s">
        <v>1216</v>
      </c>
      <c r="B137" s="987" t="s">
        <v>1238</v>
      </c>
      <c r="C137" s="1817" t="s">
        <v>1354</v>
      </c>
      <c r="D137" s="814" t="s">
        <v>1360</v>
      </c>
    </row>
    <row r="138" spans="1:4" x14ac:dyDescent="0.25">
      <c r="A138" s="988">
        <v>7.5</v>
      </c>
      <c r="B138" s="987" t="s">
        <v>1091</v>
      </c>
      <c r="C138" s="1817" t="s">
        <v>1354</v>
      </c>
      <c r="D138" s="814" t="s">
        <v>1360</v>
      </c>
    </row>
    <row r="139" spans="1:4" x14ac:dyDescent="0.25">
      <c r="A139" s="988">
        <v>7.6</v>
      </c>
      <c r="B139" s="987" t="s">
        <v>1091</v>
      </c>
      <c r="C139" s="1817" t="s">
        <v>1354</v>
      </c>
      <c r="D139" s="814" t="s">
        <v>1360</v>
      </c>
    </row>
    <row r="140" spans="1:4" x14ac:dyDescent="0.25">
      <c r="A140" s="988">
        <v>7.7</v>
      </c>
      <c r="B140" s="987" t="s">
        <v>1091</v>
      </c>
      <c r="C140" s="1817" t="s">
        <v>1354</v>
      </c>
      <c r="D140" s="814" t="s">
        <v>1360</v>
      </c>
    </row>
    <row r="141" spans="1:4" x14ac:dyDescent="0.25">
      <c r="A141" s="988">
        <v>7.8</v>
      </c>
      <c r="B141" s="987" t="s">
        <v>1091</v>
      </c>
      <c r="C141" s="1817" t="s">
        <v>1354</v>
      </c>
      <c r="D141" s="814" t="s">
        <v>1360</v>
      </c>
    </row>
    <row r="142" spans="1:4" x14ac:dyDescent="0.25">
      <c r="A142" s="1000" t="s">
        <v>1115</v>
      </c>
      <c r="B142" s="987" t="s">
        <v>1356</v>
      </c>
      <c r="C142" s="1817" t="s">
        <v>1354</v>
      </c>
      <c r="D142" s="814" t="s">
        <v>1360</v>
      </c>
    </row>
    <row r="143" spans="1:4" x14ac:dyDescent="0.25">
      <c r="A143" s="988" t="s">
        <v>1114</v>
      </c>
      <c r="B143" s="987" t="s">
        <v>1091</v>
      </c>
      <c r="C143" s="1817" t="s">
        <v>1354</v>
      </c>
      <c r="D143" s="814" t="s">
        <v>1360</v>
      </c>
    </row>
    <row r="144" spans="1:4" x14ac:dyDescent="0.25">
      <c r="A144" s="988" t="s">
        <v>1112</v>
      </c>
      <c r="B144" s="987" t="s">
        <v>1091</v>
      </c>
      <c r="C144" s="1817" t="s">
        <v>1354</v>
      </c>
      <c r="D144" s="814" t="s">
        <v>1360</v>
      </c>
    </row>
    <row r="145" spans="1:4" x14ac:dyDescent="0.25">
      <c r="A145" s="988" t="s">
        <v>1110</v>
      </c>
      <c r="B145" s="987" t="s">
        <v>1091</v>
      </c>
      <c r="C145" s="1817" t="s">
        <v>1354</v>
      </c>
      <c r="D145" s="814" t="s">
        <v>1360</v>
      </c>
    </row>
    <row r="146" spans="1:4" x14ac:dyDescent="0.25">
      <c r="A146" s="988">
        <v>7.11</v>
      </c>
      <c r="B146" s="987" t="s">
        <v>1091</v>
      </c>
      <c r="C146" s="1817" t="s">
        <v>1354</v>
      </c>
      <c r="D146" s="814" t="s">
        <v>1360</v>
      </c>
    </row>
    <row r="147" spans="1:4" x14ac:dyDescent="0.25">
      <c r="A147" s="988">
        <v>7.12</v>
      </c>
      <c r="B147" s="987" t="s">
        <v>1091</v>
      </c>
      <c r="C147" s="1817" t="s">
        <v>1354</v>
      </c>
      <c r="D147" s="814" t="s">
        <v>1360</v>
      </c>
    </row>
    <row r="148" spans="1:4" x14ac:dyDescent="0.25">
      <c r="A148" s="988">
        <v>7.13</v>
      </c>
      <c r="B148" s="987" t="s">
        <v>1356</v>
      </c>
      <c r="C148" s="1817" t="s">
        <v>1354</v>
      </c>
      <c r="D148" s="814" t="s">
        <v>1360</v>
      </c>
    </row>
    <row r="149" spans="1:4" x14ac:dyDescent="0.25">
      <c r="A149" s="988">
        <v>7.14</v>
      </c>
      <c r="B149" s="987" t="s">
        <v>1091</v>
      </c>
      <c r="C149" s="1817" t="s">
        <v>1354</v>
      </c>
      <c r="D149" s="814" t="s">
        <v>1360</v>
      </c>
    </row>
    <row r="150" spans="1:4" x14ac:dyDescent="0.25">
      <c r="A150" s="988">
        <v>7.15</v>
      </c>
      <c r="B150" s="987" t="s">
        <v>1091</v>
      </c>
      <c r="C150" s="1817" t="s">
        <v>1354</v>
      </c>
      <c r="D150" s="814" t="s">
        <v>1360</v>
      </c>
    </row>
    <row r="151" spans="1:4" x14ac:dyDescent="0.25">
      <c r="A151" s="988">
        <v>7.16</v>
      </c>
      <c r="B151" s="987" t="s">
        <v>1091</v>
      </c>
      <c r="C151" s="1817" t="s">
        <v>1354</v>
      </c>
      <c r="D151" s="814" t="s">
        <v>1360</v>
      </c>
    </row>
    <row r="152" spans="1:4" x14ac:dyDescent="0.25">
      <c r="A152" s="990">
        <v>7.17</v>
      </c>
      <c r="B152" s="991" t="s">
        <v>1247</v>
      </c>
      <c r="C152" s="1817" t="s">
        <v>1354</v>
      </c>
      <c r="D152" s="814" t="s">
        <v>1360</v>
      </c>
    </row>
    <row r="153" spans="1:4" x14ac:dyDescent="0.25">
      <c r="A153" s="984" t="s">
        <v>1097</v>
      </c>
      <c r="B153" s="985" t="s">
        <v>1091</v>
      </c>
      <c r="C153" s="1817" t="s">
        <v>1354</v>
      </c>
      <c r="D153" s="814" t="s">
        <v>1360</v>
      </c>
    </row>
    <row r="154" spans="1:4" x14ac:dyDescent="0.25">
      <c r="A154" s="988" t="s">
        <v>1095</v>
      </c>
      <c r="B154" s="987" t="s">
        <v>1091</v>
      </c>
      <c r="C154" s="1817" t="s">
        <v>1354</v>
      </c>
      <c r="D154" s="814" t="s">
        <v>1360</v>
      </c>
    </row>
    <row r="155" spans="1:4" x14ac:dyDescent="0.25">
      <c r="A155" s="988" t="s">
        <v>1093</v>
      </c>
      <c r="B155" s="987" t="s">
        <v>1091</v>
      </c>
      <c r="C155" s="1817" t="s">
        <v>1354</v>
      </c>
      <c r="D155" s="814" t="s">
        <v>1360</v>
      </c>
    </row>
    <row r="156" spans="1:4" x14ac:dyDescent="0.25">
      <c r="A156" s="988" t="s">
        <v>1090</v>
      </c>
      <c r="B156" s="987" t="s">
        <v>1247</v>
      </c>
      <c r="C156" s="1817" t="s">
        <v>1354</v>
      </c>
      <c r="D156" s="814" t="s">
        <v>1360</v>
      </c>
    </row>
    <row r="157" spans="1:4" x14ac:dyDescent="0.25">
      <c r="A157" s="990" t="s">
        <v>1088</v>
      </c>
      <c r="B157" s="991" t="s">
        <v>1248</v>
      </c>
      <c r="C157" s="1817" t="s">
        <v>1354</v>
      </c>
      <c r="D157" s="814" t="s">
        <v>1360</v>
      </c>
    </row>
    <row r="158" spans="1:4" x14ac:dyDescent="0.25">
      <c r="A158" s="955">
        <v>1.1000000000000001</v>
      </c>
      <c r="B158" s="956" t="s">
        <v>1091</v>
      </c>
      <c r="C158" s="1817" t="s">
        <v>1354</v>
      </c>
      <c r="D158" s="814" t="s">
        <v>1363</v>
      </c>
    </row>
    <row r="159" spans="1:4" x14ac:dyDescent="0.25">
      <c r="A159" s="957">
        <v>1.2</v>
      </c>
      <c r="B159" s="958" t="s">
        <v>1236</v>
      </c>
      <c r="C159" s="1817" t="s">
        <v>1354</v>
      </c>
      <c r="D159" s="814" t="s">
        <v>1363</v>
      </c>
    </row>
    <row r="160" spans="1:4" x14ac:dyDescent="0.25">
      <c r="A160" s="967">
        <v>2.1</v>
      </c>
      <c r="B160" s="956" t="s">
        <v>1091</v>
      </c>
      <c r="C160" s="1817" t="s">
        <v>1354</v>
      </c>
      <c r="D160" s="814" t="s">
        <v>1363</v>
      </c>
    </row>
    <row r="161" spans="1:4" x14ac:dyDescent="0.25">
      <c r="A161" s="968">
        <v>2.2000000000000002</v>
      </c>
      <c r="B161" s="969" t="s">
        <v>1356</v>
      </c>
      <c r="C161" s="1817" t="s">
        <v>1354</v>
      </c>
      <c r="D161" s="814" t="s">
        <v>1363</v>
      </c>
    </row>
    <row r="162" spans="1:4" x14ac:dyDescent="0.25">
      <c r="A162" s="968">
        <v>2.2999999999999998</v>
      </c>
      <c r="B162" s="969" t="s">
        <v>1091</v>
      </c>
      <c r="C162" s="1817" t="s">
        <v>1354</v>
      </c>
      <c r="D162" s="814" t="s">
        <v>1363</v>
      </c>
    </row>
    <row r="163" spans="1:4" x14ac:dyDescent="0.25">
      <c r="A163" s="968">
        <v>2.4</v>
      </c>
      <c r="B163" s="969" t="s">
        <v>1237</v>
      </c>
      <c r="C163" s="1817" t="s">
        <v>1354</v>
      </c>
      <c r="D163" s="814" t="s">
        <v>1363</v>
      </c>
    </row>
    <row r="164" spans="1:4" x14ac:dyDescent="0.25">
      <c r="A164" s="968">
        <v>2.5</v>
      </c>
      <c r="B164" s="969" t="s">
        <v>1355</v>
      </c>
      <c r="C164" s="1817" t="s">
        <v>1354</v>
      </c>
      <c r="D164" s="814" t="s">
        <v>1363</v>
      </c>
    </row>
    <row r="165" spans="1:4" x14ac:dyDescent="0.25">
      <c r="A165" s="968">
        <v>2.6</v>
      </c>
      <c r="B165" s="969" t="s">
        <v>1238</v>
      </c>
      <c r="C165" s="1817" t="s">
        <v>1354</v>
      </c>
      <c r="D165" s="814" t="s">
        <v>1363</v>
      </c>
    </row>
    <row r="166" spans="1:4" x14ac:dyDescent="0.25">
      <c r="A166" s="971" t="s">
        <v>1219</v>
      </c>
      <c r="B166" s="969" t="s">
        <v>1356</v>
      </c>
      <c r="C166" s="1817" t="s">
        <v>1354</v>
      </c>
      <c r="D166" s="814" t="s">
        <v>1363</v>
      </c>
    </row>
    <row r="167" spans="1:4" x14ac:dyDescent="0.25">
      <c r="A167" s="968" t="s">
        <v>1200</v>
      </c>
      <c r="B167" s="969" t="s">
        <v>1357</v>
      </c>
      <c r="C167" s="1817" t="s">
        <v>1354</v>
      </c>
      <c r="D167" s="814" t="s">
        <v>1363</v>
      </c>
    </row>
    <row r="168" spans="1:4" x14ac:dyDescent="0.25">
      <c r="A168" s="968">
        <v>2.8</v>
      </c>
      <c r="B168" s="969" t="s">
        <v>1241</v>
      </c>
      <c r="C168" s="1817" t="s">
        <v>1354</v>
      </c>
      <c r="D168" s="814" t="s">
        <v>1363</v>
      </c>
    </row>
    <row r="169" spans="1:4" x14ac:dyDescent="0.25">
      <c r="A169" s="968">
        <v>2.9</v>
      </c>
      <c r="B169" s="969" t="s">
        <v>1239</v>
      </c>
      <c r="C169" s="1817" t="s">
        <v>1354</v>
      </c>
      <c r="D169" s="814" t="s">
        <v>1363</v>
      </c>
    </row>
    <row r="170" spans="1:4" x14ac:dyDescent="0.25">
      <c r="A170" s="974" t="s">
        <v>1196</v>
      </c>
      <c r="B170" s="958" t="s">
        <v>1238</v>
      </c>
      <c r="C170" s="1817" t="s">
        <v>1354</v>
      </c>
      <c r="D170" s="814" t="s">
        <v>1363</v>
      </c>
    </row>
    <row r="171" spans="1:4" x14ac:dyDescent="0.25">
      <c r="A171" s="967" t="s">
        <v>1192</v>
      </c>
      <c r="B171" s="956" t="s">
        <v>1091</v>
      </c>
      <c r="C171" s="1817" t="s">
        <v>1354</v>
      </c>
      <c r="D171" s="814" t="s">
        <v>1363</v>
      </c>
    </row>
    <row r="172" spans="1:4" x14ac:dyDescent="0.25">
      <c r="A172" s="968" t="s">
        <v>1190</v>
      </c>
      <c r="B172" s="969" t="s">
        <v>1091</v>
      </c>
      <c r="C172" s="1817" t="s">
        <v>1354</v>
      </c>
      <c r="D172" s="814" t="s">
        <v>1363</v>
      </c>
    </row>
    <row r="173" spans="1:4" x14ac:dyDescent="0.25">
      <c r="A173" s="968" t="s">
        <v>1188</v>
      </c>
      <c r="B173" s="975" t="s">
        <v>1187</v>
      </c>
      <c r="C173" s="1817" t="s">
        <v>1354</v>
      </c>
      <c r="D173" s="814" t="s">
        <v>1363</v>
      </c>
    </row>
    <row r="174" spans="1:4" x14ac:dyDescent="0.25">
      <c r="A174" s="968" t="s">
        <v>1186</v>
      </c>
      <c r="B174" s="969" t="s">
        <v>1237</v>
      </c>
      <c r="C174" s="1817" t="s">
        <v>1354</v>
      </c>
      <c r="D174" s="814" t="s">
        <v>1363</v>
      </c>
    </row>
    <row r="175" spans="1:4" x14ac:dyDescent="0.25">
      <c r="A175" s="968" t="s">
        <v>1185</v>
      </c>
      <c r="B175" s="969" t="s">
        <v>1234</v>
      </c>
      <c r="C175" s="1817" t="s">
        <v>1354</v>
      </c>
      <c r="D175" s="814" t="s">
        <v>1363</v>
      </c>
    </row>
    <row r="176" spans="1:4" x14ac:dyDescent="0.25">
      <c r="A176" s="968" t="s">
        <v>1183</v>
      </c>
      <c r="B176" s="975" t="s">
        <v>1181</v>
      </c>
      <c r="C176" s="1817" t="s">
        <v>1354</v>
      </c>
      <c r="D176" s="814" t="s">
        <v>1363</v>
      </c>
    </row>
    <row r="177" spans="1:4" x14ac:dyDescent="0.25">
      <c r="A177" s="968" t="s">
        <v>1180</v>
      </c>
      <c r="B177" s="969" t="s">
        <v>1240</v>
      </c>
      <c r="C177" s="1817" t="s">
        <v>1354</v>
      </c>
      <c r="D177" s="814" t="s">
        <v>1363</v>
      </c>
    </row>
    <row r="178" spans="1:4" x14ac:dyDescent="0.25">
      <c r="A178" s="968" t="s">
        <v>1178</v>
      </c>
      <c r="B178" s="958" t="s">
        <v>1091</v>
      </c>
      <c r="C178" s="1817" t="s">
        <v>1354</v>
      </c>
      <c r="D178" s="814" t="s">
        <v>1363</v>
      </c>
    </row>
    <row r="179" spans="1:4" x14ac:dyDescent="0.25">
      <c r="A179" s="976" t="s">
        <v>1174</v>
      </c>
      <c r="B179" s="977" t="s">
        <v>1091</v>
      </c>
      <c r="C179" s="1817" t="s">
        <v>1354</v>
      </c>
      <c r="D179" s="814" t="s">
        <v>1363</v>
      </c>
    </row>
    <row r="180" spans="1:4" x14ac:dyDescent="0.25">
      <c r="A180" s="978" t="s">
        <v>1173</v>
      </c>
      <c r="B180" s="979" t="s">
        <v>1240</v>
      </c>
      <c r="C180" s="1817" t="s">
        <v>1354</v>
      </c>
      <c r="D180" s="814" t="s">
        <v>1363</v>
      </c>
    </row>
    <row r="181" spans="1:4" x14ac:dyDescent="0.25">
      <c r="A181" s="978" t="s">
        <v>1172</v>
      </c>
      <c r="B181" s="980" t="s">
        <v>1242</v>
      </c>
      <c r="C181" s="1817" t="s">
        <v>1354</v>
      </c>
      <c r="D181" s="814" t="s">
        <v>1363</v>
      </c>
    </row>
    <row r="182" spans="1:4" x14ac:dyDescent="0.25">
      <c r="A182" s="984" t="s">
        <v>1168</v>
      </c>
      <c r="B182" s="985" t="s">
        <v>1356</v>
      </c>
      <c r="C182" s="1817" t="s">
        <v>1354</v>
      </c>
      <c r="D182" s="814" t="s">
        <v>1363</v>
      </c>
    </row>
    <row r="183" spans="1:4" x14ac:dyDescent="0.25">
      <c r="A183" s="986" t="s">
        <v>1212</v>
      </c>
      <c r="B183" s="987" t="s">
        <v>1091</v>
      </c>
      <c r="C183" s="1817" t="s">
        <v>1354</v>
      </c>
      <c r="D183" s="814" t="s">
        <v>1363</v>
      </c>
    </row>
    <row r="184" spans="1:4" x14ac:dyDescent="0.25">
      <c r="A184" s="988" t="s">
        <v>1167</v>
      </c>
      <c r="B184" s="987" t="s">
        <v>1356</v>
      </c>
      <c r="C184" s="1817" t="s">
        <v>1354</v>
      </c>
      <c r="D184" s="814" t="s">
        <v>1363</v>
      </c>
    </row>
    <row r="185" spans="1:4" x14ac:dyDescent="0.25">
      <c r="A185" s="986" t="s">
        <v>1213</v>
      </c>
      <c r="B185" s="987" t="s">
        <v>1237</v>
      </c>
      <c r="C185" s="1817" t="s">
        <v>1354</v>
      </c>
      <c r="D185" s="814" t="s">
        <v>1363</v>
      </c>
    </row>
    <row r="186" spans="1:4" x14ac:dyDescent="0.25">
      <c r="A186" s="988" t="s">
        <v>1166</v>
      </c>
      <c r="B186" s="987" t="s">
        <v>1091</v>
      </c>
      <c r="C186" s="1817" t="s">
        <v>1354</v>
      </c>
      <c r="D186" s="814" t="s">
        <v>1363</v>
      </c>
    </row>
    <row r="187" spans="1:4" x14ac:dyDescent="0.25">
      <c r="A187" s="988" t="s">
        <v>1164</v>
      </c>
      <c r="B187" s="989" t="s">
        <v>1162</v>
      </c>
      <c r="C187" s="1817" t="s">
        <v>1354</v>
      </c>
      <c r="D187" s="814" t="s">
        <v>1363</v>
      </c>
    </row>
    <row r="188" spans="1:4" x14ac:dyDescent="0.25">
      <c r="A188" s="988" t="s">
        <v>1161</v>
      </c>
      <c r="B188" s="987" t="s">
        <v>1238</v>
      </c>
      <c r="C188" s="1817" t="s">
        <v>1354</v>
      </c>
      <c r="D188" s="814" t="s">
        <v>1363</v>
      </c>
    </row>
    <row r="189" spans="1:4" x14ac:dyDescent="0.25">
      <c r="A189" s="988" t="s">
        <v>1159</v>
      </c>
      <c r="B189" s="987" t="s">
        <v>1091</v>
      </c>
      <c r="C189" s="1817" t="s">
        <v>1354</v>
      </c>
      <c r="D189" s="814" t="s">
        <v>1363</v>
      </c>
    </row>
    <row r="190" spans="1:4" x14ac:dyDescent="0.25">
      <c r="A190" s="988" t="s">
        <v>1157</v>
      </c>
      <c r="B190" s="987" t="s">
        <v>1356</v>
      </c>
      <c r="C190" s="1817" t="s">
        <v>1354</v>
      </c>
      <c r="D190" s="814" t="s">
        <v>1363</v>
      </c>
    </row>
    <row r="191" spans="1:4" x14ac:dyDescent="0.25">
      <c r="A191" s="986" t="s">
        <v>1214</v>
      </c>
      <c r="B191" s="987" t="s">
        <v>1248</v>
      </c>
      <c r="C191" s="1817" t="s">
        <v>1354</v>
      </c>
      <c r="D191" s="814" t="s">
        <v>1363</v>
      </c>
    </row>
    <row r="192" spans="1:4" x14ac:dyDescent="0.25">
      <c r="A192" s="988" t="s">
        <v>1156</v>
      </c>
      <c r="B192" s="987" t="s">
        <v>1232</v>
      </c>
      <c r="C192" s="1817" t="s">
        <v>1354</v>
      </c>
      <c r="D192" s="814" t="s">
        <v>1363</v>
      </c>
    </row>
    <row r="193" spans="1:4" x14ac:dyDescent="0.25">
      <c r="A193" s="988" t="s">
        <v>1155</v>
      </c>
      <c r="B193" s="987" t="s">
        <v>1243</v>
      </c>
      <c r="C193" s="1817" t="s">
        <v>1354</v>
      </c>
      <c r="D193" s="814" t="s">
        <v>1363</v>
      </c>
    </row>
    <row r="194" spans="1:4" x14ac:dyDescent="0.25">
      <c r="A194" s="988" t="s">
        <v>1153</v>
      </c>
      <c r="B194" s="987" t="s">
        <v>1233</v>
      </c>
      <c r="C194" s="1817" t="s">
        <v>1354</v>
      </c>
      <c r="D194" s="814" t="s">
        <v>1363</v>
      </c>
    </row>
    <row r="195" spans="1:4" x14ac:dyDescent="0.25">
      <c r="A195" s="988" t="s">
        <v>1152</v>
      </c>
      <c r="B195" s="987" t="s">
        <v>1091</v>
      </c>
      <c r="C195" s="1817" t="s">
        <v>1354</v>
      </c>
      <c r="D195" s="814" t="s">
        <v>1363</v>
      </c>
    </row>
    <row r="196" spans="1:4" x14ac:dyDescent="0.25">
      <c r="A196" s="988" t="s">
        <v>1150</v>
      </c>
      <c r="B196" s="987" t="s">
        <v>1244</v>
      </c>
      <c r="C196" s="1817" t="s">
        <v>1354</v>
      </c>
      <c r="D196" s="814" t="s">
        <v>1363</v>
      </c>
    </row>
    <row r="197" spans="1:4" x14ac:dyDescent="0.25">
      <c r="A197" s="988">
        <v>5.1100000000000003</v>
      </c>
      <c r="B197" s="987" t="s">
        <v>1361</v>
      </c>
      <c r="C197" s="1817" t="s">
        <v>1354</v>
      </c>
      <c r="D197" s="814" t="s">
        <v>1363</v>
      </c>
    </row>
    <row r="198" spans="1:4" x14ac:dyDescent="0.25">
      <c r="A198" s="988">
        <v>5.12</v>
      </c>
      <c r="B198" s="987" t="s">
        <v>1239</v>
      </c>
      <c r="C198" s="1817" t="s">
        <v>1354</v>
      </c>
      <c r="D198" s="814" t="s">
        <v>1363</v>
      </c>
    </row>
    <row r="199" spans="1:4" x14ac:dyDescent="0.25">
      <c r="A199" s="990">
        <v>5.13</v>
      </c>
      <c r="B199" s="991" t="s">
        <v>1362</v>
      </c>
      <c r="C199" s="1817" t="s">
        <v>1354</v>
      </c>
      <c r="D199" s="814" t="s">
        <v>1363</v>
      </c>
    </row>
    <row r="200" spans="1:4" x14ac:dyDescent="0.25">
      <c r="A200" s="984" t="s">
        <v>1147</v>
      </c>
      <c r="B200" s="985" t="s">
        <v>1091</v>
      </c>
      <c r="C200" s="1817" t="s">
        <v>1354</v>
      </c>
      <c r="D200" s="814" t="s">
        <v>1363</v>
      </c>
    </row>
    <row r="201" spans="1:4" x14ac:dyDescent="0.25">
      <c r="A201" s="988" t="s">
        <v>1145</v>
      </c>
      <c r="B201" s="987" t="s">
        <v>1091</v>
      </c>
      <c r="C201" s="1817" t="s">
        <v>1354</v>
      </c>
      <c r="D201" s="814" t="s">
        <v>1363</v>
      </c>
    </row>
    <row r="202" spans="1:4" x14ac:dyDescent="0.25">
      <c r="A202" s="988" t="s">
        <v>1143</v>
      </c>
      <c r="B202" s="987" t="s">
        <v>1234</v>
      </c>
      <c r="C202" s="1817" t="s">
        <v>1354</v>
      </c>
      <c r="D202" s="814" t="s">
        <v>1363</v>
      </c>
    </row>
    <row r="203" spans="1:4" x14ac:dyDescent="0.25">
      <c r="A203" s="988" t="s">
        <v>1141</v>
      </c>
      <c r="B203" s="987" t="s">
        <v>1235</v>
      </c>
      <c r="C203" s="1817" t="s">
        <v>1354</v>
      </c>
      <c r="D203" s="814" t="s">
        <v>1363</v>
      </c>
    </row>
    <row r="204" spans="1:4" x14ac:dyDescent="0.25">
      <c r="A204" s="988" t="s">
        <v>1139</v>
      </c>
      <c r="B204" s="987" t="s">
        <v>1234</v>
      </c>
      <c r="C204" s="1817" t="s">
        <v>1354</v>
      </c>
      <c r="D204" s="814" t="s">
        <v>1363</v>
      </c>
    </row>
    <row r="205" spans="1:4" x14ac:dyDescent="0.25">
      <c r="A205" s="988" t="s">
        <v>1137</v>
      </c>
      <c r="B205" s="987" t="s">
        <v>1234</v>
      </c>
      <c r="C205" s="1817" t="s">
        <v>1354</v>
      </c>
      <c r="D205" s="814" t="s">
        <v>1363</v>
      </c>
    </row>
    <row r="206" spans="1:4" x14ac:dyDescent="0.25">
      <c r="A206" s="988" t="s">
        <v>1135</v>
      </c>
      <c r="B206" s="987" t="s">
        <v>1237</v>
      </c>
      <c r="C206" s="1817" t="s">
        <v>1354</v>
      </c>
      <c r="D206" s="814" t="s">
        <v>1363</v>
      </c>
    </row>
    <row r="207" spans="1:4" x14ac:dyDescent="0.25">
      <c r="A207" s="988" t="s">
        <v>1133</v>
      </c>
      <c r="B207" s="987" t="s">
        <v>1237</v>
      </c>
      <c r="C207" s="1817" t="s">
        <v>1354</v>
      </c>
      <c r="D207" s="814" t="s">
        <v>1363</v>
      </c>
    </row>
    <row r="208" spans="1:4" x14ac:dyDescent="0.25">
      <c r="A208" s="990" t="s">
        <v>1131</v>
      </c>
      <c r="B208" s="991" t="s">
        <v>1245</v>
      </c>
      <c r="C208" s="1817" t="s">
        <v>1354</v>
      </c>
      <c r="D208" s="814" t="s">
        <v>1363</v>
      </c>
    </row>
    <row r="209" spans="1:4" x14ac:dyDescent="0.25">
      <c r="A209" s="984" t="s">
        <v>1127</v>
      </c>
      <c r="B209" s="985" t="s">
        <v>1091</v>
      </c>
      <c r="C209" s="1817" t="s">
        <v>1354</v>
      </c>
      <c r="D209" s="814" t="s">
        <v>1363</v>
      </c>
    </row>
    <row r="210" spans="1:4" x14ac:dyDescent="0.25">
      <c r="A210" s="988" t="s">
        <v>1125</v>
      </c>
      <c r="B210" s="989" t="s">
        <v>1124</v>
      </c>
      <c r="C210" s="1817" t="s">
        <v>1354</v>
      </c>
      <c r="D210" s="814" t="s">
        <v>1363</v>
      </c>
    </row>
    <row r="211" spans="1:4" x14ac:dyDescent="0.25">
      <c r="A211" s="988" t="s">
        <v>1123</v>
      </c>
      <c r="B211" s="987" t="s">
        <v>1246</v>
      </c>
      <c r="C211" s="1817" t="s">
        <v>1354</v>
      </c>
      <c r="D211" s="814" t="s">
        <v>1363</v>
      </c>
    </row>
    <row r="212" spans="1:4" x14ac:dyDescent="0.25">
      <c r="A212" s="988" t="s">
        <v>1121</v>
      </c>
      <c r="B212" s="987" t="s">
        <v>1091</v>
      </c>
      <c r="C212" s="1817" t="s">
        <v>1354</v>
      </c>
      <c r="D212" s="814" t="s">
        <v>1363</v>
      </c>
    </row>
    <row r="213" spans="1:4" x14ac:dyDescent="0.25">
      <c r="A213" s="986" t="s">
        <v>1215</v>
      </c>
      <c r="B213" s="987" t="s">
        <v>1356</v>
      </c>
      <c r="C213" s="1817" t="s">
        <v>1354</v>
      </c>
      <c r="D213" s="814" t="s">
        <v>1363</v>
      </c>
    </row>
    <row r="214" spans="1:4" x14ac:dyDescent="0.25">
      <c r="A214" s="988" t="s">
        <v>1120</v>
      </c>
      <c r="B214" s="987" t="s">
        <v>1356</v>
      </c>
      <c r="C214" s="1817" t="s">
        <v>1354</v>
      </c>
      <c r="D214" s="814" t="s">
        <v>1363</v>
      </c>
    </row>
    <row r="215" spans="1:4" x14ac:dyDescent="0.25">
      <c r="A215" s="986" t="s">
        <v>1216</v>
      </c>
      <c r="B215" s="987" t="s">
        <v>1238</v>
      </c>
      <c r="C215" s="1817" t="s">
        <v>1354</v>
      </c>
      <c r="D215" s="814" t="s">
        <v>1363</v>
      </c>
    </row>
    <row r="216" spans="1:4" x14ac:dyDescent="0.25">
      <c r="A216" s="988">
        <v>7.5</v>
      </c>
      <c r="B216" s="987" t="s">
        <v>1091</v>
      </c>
      <c r="C216" s="1817" t="s">
        <v>1354</v>
      </c>
      <c r="D216" s="814" t="s">
        <v>1363</v>
      </c>
    </row>
    <row r="217" spans="1:4" x14ac:dyDescent="0.25">
      <c r="A217" s="988">
        <v>7.6</v>
      </c>
      <c r="B217" s="987" t="s">
        <v>1091</v>
      </c>
      <c r="C217" s="1817" t="s">
        <v>1354</v>
      </c>
      <c r="D217" s="814" t="s">
        <v>1363</v>
      </c>
    </row>
    <row r="218" spans="1:4" x14ac:dyDescent="0.25">
      <c r="A218" s="988">
        <v>7.7</v>
      </c>
      <c r="B218" s="987" t="s">
        <v>1091</v>
      </c>
      <c r="C218" s="1817" t="s">
        <v>1354</v>
      </c>
      <c r="D218" s="814" t="s">
        <v>1363</v>
      </c>
    </row>
    <row r="219" spans="1:4" x14ac:dyDescent="0.25">
      <c r="A219" s="988">
        <v>7.8</v>
      </c>
      <c r="B219" s="987" t="s">
        <v>1091</v>
      </c>
      <c r="C219" s="1817" t="s">
        <v>1354</v>
      </c>
      <c r="D219" s="814" t="s">
        <v>1363</v>
      </c>
    </row>
    <row r="220" spans="1:4" x14ac:dyDescent="0.25">
      <c r="A220" s="1000" t="s">
        <v>1115</v>
      </c>
      <c r="B220" s="987" t="s">
        <v>1356</v>
      </c>
      <c r="C220" s="1817" t="s">
        <v>1354</v>
      </c>
      <c r="D220" s="814" t="s">
        <v>1363</v>
      </c>
    </row>
    <row r="221" spans="1:4" x14ac:dyDescent="0.25">
      <c r="A221" s="988" t="s">
        <v>1114</v>
      </c>
      <c r="B221" s="987" t="s">
        <v>1091</v>
      </c>
      <c r="C221" s="1817" t="s">
        <v>1354</v>
      </c>
      <c r="D221" s="814" t="s">
        <v>1363</v>
      </c>
    </row>
    <row r="222" spans="1:4" x14ac:dyDescent="0.25">
      <c r="A222" s="988" t="s">
        <v>1112</v>
      </c>
      <c r="B222" s="987" t="s">
        <v>1091</v>
      </c>
      <c r="C222" s="1817" t="s">
        <v>1354</v>
      </c>
      <c r="D222" s="814" t="s">
        <v>1363</v>
      </c>
    </row>
    <row r="223" spans="1:4" x14ac:dyDescent="0.25">
      <c r="A223" s="988" t="s">
        <v>1110</v>
      </c>
      <c r="B223" s="987" t="s">
        <v>1091</v>
      </c>
      <c r="C223" s="1817" t="s">
        <v>1354</v>
      </c>
      <c r="D223" s="814" t="s">
        <v>1363</v>
      </c>
    </row>
    <row r="224" spans="1:4" x14ac:dyDescent="0.25">
      <c r="A224" s="988">
        <v>7.11</v>
      </c>
      <c r="B224" s="987" t="s">
        <v>1091</v>
      </c>
      <c r="C224" s="1817" t="s">
        <v>1354</v>
      </c>
      <c r="D224" s="814" t="s">
        <v>1363</v>
      </c>
    </row>
    <row r="225" spans="1:4" x14ac:dyDescent="0.25">
      <c r="A225" s="988">
        <v>7.12</v>
      </c>
      <c r="B225" s="987" t="s">
        <v>1091</v>
      </c>
      <c r="C225" s="1817" t="s">
        <v>1354</v>
      </c>
      <c r="D225" s="814" t="s">
        <v>1363</v>
      </c>
    </row>
    <row r="226" spans="1:4" x14ac:dyDescent="0.25">
      <c r="A226" s="988">
        <v>7.13</v>
      </c>
      <c r="B226" s="987" t="s">
        <v>1359</v>
      </c>
      <c r="C226" s="1817" t="s">
        <v>1354</v>
      </c>
      <c r="D226" s="814" t="s">
        <v>1363</v>
      </c>
    </row>
    <row r="227" spans="1:4" x14ac:dyDescent="0.25">
      <c r="A227" s="988">
        <v>7.14</v>
      </c>
      <c r="B227" s="987" t="s">
        <v>1091</v>
      </c>
      <c r="C227" s="1817" t="s">
        <v>1354</v>
      </c>
      <c r="D227" s="814" t="s">
        <v>1363</v>
      </c>
    </row>
    <row r="228" spans="1:4" x14ac:dyDescent="0.25">
      <c r="A228" s="988">
        <v>7.15</v>
      </c>
      <c r="B228" s="987" t="s">
        <v>1091</v>
      </c>
      <c r="C228" s="1817" t="s">
        <v>1354</v>
      </c>
      <c r="D228" s="814" t="s">
        <v>1363</v>
      </c>
    </row>
    <row r="229" spans="1:4" x14ac:dyDescent="0.25">
      <c r="A229" s="988">
        <v>7.16</v>
      </c>
      <c r="B229" s="987" t="s">
        <v>1091</v>
      </c>
      <c r="C229" s="1817" t="s">
        <v>1354</v>
      </c>
      <c r="D229" s="814" t="s">
        <v>1363</v>
      </c>
    </row>
    <row r="230" spans="1:4" x14ac:dyDescent="0.25">
      <c r="A230" s="990">
        <v>7.17</v>
      </c>
      <c r="B230" s="991" t="s">
        <v>1247</v>
      </c>
      <c r="C230" s="1817" t="s">
        <v>1354</v>
      </c>
      <c r="D230" s="814" t="s">
        <v>1363</v>
      </c>
    </row>
    <row r="231" spans="1:4" x14ac:dyDescent="0.25">
      <c r="A231" s="984" t="s">
        <v>1097</v>
      </c>
      <c r="B231" s="985" t="s">
        <v>1091</v>
      </c>
      <c r="C231" s="1817" t="s">
        <v>1354</v>
      </c>
      <c r="D231" s="814" t="s">
        <v>1363</v>
      </c>
    </row>
    <row r="232" spans="1:4" x14ac:dyDescent="0.25">
      <c r="A232" s="988" t="s">
        <v>1095</v>
      </c>
      <c r="B232" s="987" t="s">
        <v>1091</v>
      </c>
      <c r="C232" s="1817" t="s">
        <v>1354</v>
      </c>
      <c r="D232" s="814" t="s">
        <v>1363</v>
      </c>
    </row>
    <row r="233" spans="1:4" x14ac:dyDescent="0.25">
      <c r="A233" s="988" t="s">
        <v>1093</v>
      </c>
      <c r="B233" s="987" t="s">
        <v>1091</v>
      </c>
      <c r="C233" s="1817" t="s">
        <v>1354</v>
      </c>
      <c r="D233" s="814" t="s">
        <v>1363</v>
      </c>
    </row>
    <row r="234" spans="1:4" x14ac:dyDescent="0.25">
      <c r="A234" s="988" t="s">
        <v>1090</v>
      </c>
      <c r="B234" s="987" t="s">
        <v>1247</v>
      </c>
      <c r="C234" s="1817" t="s">
        <v>1354</v>
      </c>
      <c r="D234" s="814" t="s">
        <v>1363</v>
      </c>
    </row>
    <row r="235" spans="1:4" x14ac:dyDescent="0.25">
      <c r="A235" s="990" t="s">
        <v>1088</v>
      </c>
      <c r="B235" s="991" t="s">
        <v>1248</v>
      </c>
      <c r="C235" s="1817" t="s">
        <v>1354</v>
      </c>
      <c r="D235" s="814" t="s">
        <v>1363</v>
      </c>
    </row>
    <row r="236" spans="1:4" x14ac:dyDescent="0.25">
      <c r="A236" s="955">
        <v>1.1000000000000001</v>
      </c>
      <c r="B236" s="956" t="s">
        <v>1091</v>
      </c>
      <c r="C236" s="1818" t="s">
        <v>1349</v>
      </c>
      <c r="D236" s="814" t="s">
        <v>29</v>
      </c>
    </row>
    <row r="237" spans="1:4" x14ac:dyDescent="0.25">
      <c r="A237" s="957">
        <v>1.2</v>
      </c>
      <c r="B237" s="958" t="s">
        <v>1236</v>
      </c>
      <c r="C237" s="1818" t="s">
        <v>1349</v>
      </c>
      <c r="D237" s="814" t="s">
        <v>29</v>
      </c>
    </row>
    <row r="238" spans="1:4" x14ac:dyDescent="0.25">
      <c r="A238" s="967">
        <v>2.1</v>
      </c>
      <c r="B238" s="956" t="s">
        <v>1091</v>
      </c>
      <c r="C238" s="1818" t="s">
        <v>1349</v>
      </c>
      <c r="D238" s="814" t="s">
        <v>29</v>
      </c>
    </row>
    <row r="239" spans="1:4" x14ac:dyDescent="0.25">
      <c r="A239" s="968">
        <v>2.2000000000000002</v>
      </c>
      <c r="B239" s="969" t="s">
        <v>1091</v>
      </c>
      <c r="C239" s="1818" t="s">
        <v>1349</v>
      </c>
      <c r="D239" s="814" t="s">
        <v>29</v>
      </c>
    </row>
    <row r="240" spans="1:4" x14ac:dyDescent="0.25">
      <c r="A240" s="968">
        <v>2.2999999999999998</v>
      </c>
      <c r="B240" s="969" t="s">
        <v>1091</v>
      </c>
      <c r="C240" s="1818" t="s">
        <v>1349</v>
      </c>
      <c r="D240" s="814" t="s">
        <v>29</v>
      </c>
    </row>
    <row r="241" spans="1:4" x14ac:dyDescent="0.25">
      <c r="A241" s="968">
        <v>2.4</v>
      </c>
      <c r="B241" s="969" t="s">
        <v>1237</v>
      </c>
      <c r="C241" s="1818" t="s">
        <v>1349</v>
      </c>
      <c r="D241" s="814" t="s">
        <v>29</v>
      </c>
    </row>
    <row r="242" spans="1:4" x14ac:dyDescent="0.25">
      <c r="A242" s="968">
        <v>2.5</v>
      </c>
      <c r="B242" s="969" t="s">
        <v>1355</v>
      </c>
      <c r="C242" s="1818" t="s">
        <v>1349</v>
      </c>
      <c r="D242" s="814" t="s">
        <v>29</v>
      </c>
    </row>
    <row r="243" spans="1:4" x14ac:dyDescent="0.25">
      <c r="A243" s="968">
        <v>2.6</v>
      </c>
      <c r="B243" s="969" t="s">
        <v>1238</v>
      </c>
      <c r="C243" s="1818" t="s">
        <v>1349</v>
      </c>
      <c r="D243" s="814" t="s">
        <v>29</v>
      </c>
    </row>
    <row r="244" spans="1:4" x14ac:dyDescent="0.25">
      <c r="A244" s="971" t="s">
        <v>1219</v>
      </c>
      <c r="B244" s="969" t="s">
        <v>1091</v>
      </c>
      <c r="C244" s="1818" t="s">
        <v>1349</v>
      </c>
      <c r="D244" s="814" t="s">
        <v>29</v>
      </c>
    </row>
    <row r="245" spans="1:4" x14ac:dyDescent="0.25">
      <c r="A245" s="968" t="s">
        <v>1200</v>
      </c>
      <c r="B245" s="969" t="s">
        <v>1364</v>
      </c>
      <c r="C245" s="1818" t="s">
        <v>1349</v>
      </c>
      <c r="D245" s="814" t="s">
        <v>29</v>
      </c>
    </row>
    <row r="246" spans="1:4" x14ac:dyDescent="0.25">
      <c r="A246" s="968">
        <v>2.8</v>
      </c>
      <c r="B246" s="969" t="s">
        <v>1241</v>
      </c>
      <c r="C246" s="1818" t="s">
        <v>1349</v>
      </c>
      <c r="D246" s="814" t="s">
        <v>29</v>
      </c>
    </row>
    <row r="247" spans="1:4" x14ac:dyDescent="0.25">
      <c r="A247" s="968">
        <v>2.9</v>
      </c>
      <c r="B247" s="969" t="s">
        <v>1239</v>
      </c>
      <c r="C247" s="1818" t="s">
        <v>1349</v>
      </c>
      <c r="D247" s="814" t="s">
        <v>29</v>
      </c>
    </row>
    <row r="248" spans="1:4" x14ac:dyDescent="0.25">
      <c r="A248" s="974" t="s">
        <v>1196</v>
      </c>
      <c r="B248" s="958" t="s">
        <v>1238</v>
      </c>
      <c r="C248" s="1818" t="s">
        <v>1349</v>
      </c>
      <c r="D248" s="814" t="s">
        <v>29</v>
      </c>
    </row>
    <row r="249" spans="1:4" x14ac:dyDescent="0.25">
      <c r="A249" s="967" t="s">
        <v>1192</v>
      </c>
      <c r="B249" s="956" t="s">
        <v>1091</v>
      </c>
      <c r="C249" s="1818" t="s">
        <v>1349</v>
      </c>
      <c r="D249" s="814" t="s">
        <v>29</v>
      </c>
    </row>
    <row r="250" spans="1:4" x14ac:dyDescent="0.25">
      <c r="A250" s="968" t="s">
        <v>1190</v>
      </c>
      <c r="B250" s="969" t="s">
        <v>1091</v>
      </c>
      <c r="C250" s="1818" t="s">
        <v>1349</v>
      </c>
      <c r="D250" s="814" t="s">
        <v>29</v>
      </c>
    </row>
    <row r="251" spans="1:4" x14ac:dyDescent="0.25">
      <c r="A251" s="968" t="s">
        <v>1188</v>
      </c>
      <c r="B251" s="975" t="s">
        <v>1187</v>
      </c>
      <c r="C251" s="1818" t="s">
        <v>1349</v>
      </c>
      <c r="D251" s="814" t="s">
        <v>29</v>
      </c>
    </row>
    <row r="252" spans="1:4" x14ac:dyDescent="0.25">
      <c r="A252" s="968" t="s">
        <v>1186</v>
      </c>
      <c r="B252" s="969" t="s">
        <v>1237</v>
      </c>
      <c r="C252" s="1818" t="s">
        <v>1349</v>
      </c>
      <c r="D252" s="814" t="s">
        <v>29</v>
      </c>
    </row>
    <row r="253" spans="1:4" x14ac:dyDescent="0.25">
      <c r="A253" s="968" t="s">
        <v>1185</v>
      </c>
      <c r="B253" s="969" t="s">
        <v>1234</v>
      </c>
      <c r="C253" s="1818" t="s">
        <v>1349</v>
      </c>
      <c r="D253" s="814" t="s">
        <v>29</v>
      </c>
    </row>
    <row r="254" spans="1:4" x14ac:dyDescent="0.25">
      <c r="A254" s="968" t="s">
        <v>1183</v>
      </c>
      <c r="B254" s="975" t="s">
        <v>1181</v>
      </c>
      <c r="C254" s="1818" t="s">
        <v>1349</v>
      </c>
      <c r="D254" s="814" t="s">
        <v>29</v>
      </c>
    </row>
    <row r="255" spans="1:4" x14ac:dyDescent="0.25">
      <c r="A255" s="968" t="s">
        <v>1180</v>
      </c>
      <c r="B255" s="969" t="s">
        <v>1240</v>
      </c>
      <c r="C255" s="1818" t="s">
        <v>1349</v>
      </c>
      <c r="D255" s="814" t="s">
        <v>29</v>
      </c>
    </row>
    <row r="256" spans="1:4" x14ac:dyDescent="0.25">
      <c r="A256" s="968" t="s">
        <v>1178</v>
      </c>
      <c r="B256" s="958" t="s">
        <v>1091</v>
      </c>
      <c r="C256" s="1818" t="s">
        <v>1349</v>
      </c>
      <c r="D256" s="814" t="s">
        <v>29</v>
      </c>
    </row>
    <row r="257" spans="1:4" x14ac:dyDescent="0.25">
      <c r="A257" s="976" t="s">
        <v>1174</v>
      </c>
      <c r="B257" s="977" t="s">
        <v>1091</v>
      </c>
      <c r="C257" s="1818" t="s">
        <v>1349</v>
      </c>
      <c r="D257" s="814" t="s">
        <v>29</v>
      </c>
    </row>
    <row r="258" spans="1:4" x14ac:dyDescent="0.25">
      <c r="A258" s="978" t="s">
        <v>1173</v>
      </c>
      <c r="B258" s="979" t="s">
        <v>1240</v>
      </c>
      <c r="C258" s="1818" t="s">
        <v>1349</v>
      </c>
      <c r="D258" s="814" t="s">
        <v>29</v>
      </c>
    </row>
    <row r="259" spans="1:4" x14ac:dyDescent="0.25">
      <c r="A259" s="978" t="s">
        <v>1172</v>
      </c>
      <c r="B259" s="980" t="s">
        <v>1242</v>
      </c>
      <c r="C259" s="1818" t="s">
        <v>1349</v>
      </c>
      <c r="D259" s="814" t="s">
        <v>29</v>
      </c>
    </row>
    <row r="260" spans="1:4" x14ac:dyDescent="0.25">
      <c r="A260" s="984" t="s">
        <v>1168</v>
      </c>
      <c r="B260" s="985" t="s">
        <v>1091</v>
      </c>
      <c r="C260" s="1818" t="s">
        <v>1349</v>
      </c>
      <c r="D260" s="814" t="s">
        <v>29</v>
      </c>
    </row>
    <row r="261" spans="1:4" x14ac:dyDescent="0.25">
      <c r="A261" s="986" t="s">
        <v>1212</v>
      </c>
      <c r="B261" s="987" t="s">
        <v>1356</v>
      </c>
      <c r="C261" s="1818" t="s">
        <v>1349</v>
      </c>
      <c r="D261" s="814" t="s">
        <v>29</v>
      </c>
    </row>
    <row r="262" spans="1:4" x14ac:dyDescent="0.25">
      <c r="A262" s="988" t="s">
        <v>1167</v>
      </c>
      <c r="B262" s="987" t="s">
        <v>1358</v>
      </c>
      <c r="C262" s="1818" t="s">
        <v>1349</v>
      </c>
      <c r="D262" s="814" t="s">
        <v>29</v>
      </c>
    </row>
    <row r="263" spans="1:4" x14ac:dyDescent="0.25">
      <c r="A263" s="986" t="s">
        <v>1213</v>
      </c>
      <c r="B263" s="987" t="s">
        <v>1356</v>
      </c>
      <c r="C263" s="1818" t="s">
        <v>1349</v>
      </c>
      <c r="D263" s="814" t="s">
        <v>29</v>
      </c>
    </row>
    <row r="264" spans="1:4" x14ac:dyDescent="0.25">
      <c r="A264" s="988" t="s">
        <v>1166</v>
      </c>
      <c r="B264" s="987" t="s">
        <v>1091</v>
      </c>
      <c r="C264" s="1818" t="s">
        <v>1349</v>
      </c>
      <c r="D264" s="814" t="s">
        <v>29</v>
      </c>
    </row>
    <row r="265" spans="1:4" x14ac:dyDescent="0.25">
      <c r="A265" s="988" t="s">
        <v>1164</v>
      </c>
      <c r="B265" s="989" t="s">
        <v>1162</v>
      </c>
      <c r="C265" s="1818" t="s">
        <v>1349</v>
      </c>
      <c r="D265" s="814" t="s">
        <v>29</v>
      </c>
    </row>
    <row r="266" spans="1:4" x14ac:dyDescent="0.25">
      <c r="A266" s="988" t="s">
        <v>1161</v>
      </c>
      <c r="B266" s="987" t="s">
        <v>1238</v>
      </c>
      <c r="C266" s="1818" t="s">
        <v>1349</v>
      </c>
      <c r="D266" s="814" t="s">
        <v>29</v>
      </c>
    </row>
    <row r="267" spans="1:4" x14ac:dyDescent="0.25">
      <c r="A267" s="988" t="s">
        <v>1159</v>
      </c>
      <c r="B267" s="987" t="s">
        <v>1091</v>
      </c>
      <c r="C267" s="1818" t="s">
        <v>1349</v>
      </c>
      <c r="D267" s="814" t="s">
        <v>29</v>
      </c>
    </row>
    <row r="268" spans="1:4" x14ac:dyDescent="0.25">
      <c r="A268" s="988" t="s">
        <v>1157</v>
      </c>
      <c r="B268" s="987" t="s">
        <v>1091</v>
      </c>
      <c r="C268" s="1818" t="s">
        <v>1349</v>
      </c>
      <c r="D268" s="814" t="s">
        <v>29</v>
      </c>
    </row>
    <row r="269" spans="1:4" x14ac:dyDescent="0.25">
      <c r="A269" s="986" t="s">
        <v>1214</v>
      </c>
      <c r="B269" s="987" t="s">
        <v>1356</v>
      </c>
      <c r="C269" s="1818" t="s">
        <v>1349</v>
      </c>
      <c r="D269" s="814" t="s">
        <v>29</v>
      </c>
    </row>
    <row r="270" spans="1:4" x14ac:dyDescent="0.25">
      <c r="A270" s="988" t="s">
        <v>1156</v>
      </c>
      <c r="B270" s="987" t="s">
        <v>1232</v>
      </c>
      <c r="C270" s="1818" t="s">
        <v>1349</v>
      </c>
      <c r="D270" s="814" t="s">
        <v>29</v>
      </c>
    </row>
    <row r="271" spans="1:4" x14ac:dyDescent="0.25">
      <c r="A271" s="988" t="s">
        <v>1155</v>
      </c>
      <c r="B271" s="987" t="s">
        <v>1243</v>
      </c>
      <c r="C271" s="1818" t="s">
        <v>1349</v>
      </c>
      <c r="D271" s="814" t="s">
        <v>29</v>
      </c>
    </row>
    <row r="272" spans="1:4" x14ac:dyDescent="0.25">
      <c r="A272" s="988" t="s">
        <v>1153</v>
      </c>
      <c r="B272" s="987" t="s">
        <v>1233</v>
      </c>
      <c r="C272" s="1818" t="s">
        <v>1349</v>
      </c>
      <c r="D272" s="814" t="s">
        <v>29</v>
      </c>
    </row>
    <row r="273" spans="1:4" x14ac:dyDescent="0.25">
      <c r="A273" s="988" t="s">
        <v>1152</v>
      </c>
      <c r="B273" s="987" t="s">
        <v>1091</v>
      </c>
      <c r="C273" s="1818" t="s">
        <v>1349</v>
      </c>
      <c r="D273" s="814" t="s">
        <v>29</v>
      </c>
    </row>
    <row r="274" spans="1:4" x14ac:dyDescent="0.25">
      <c r="A274" s="988" t="s">
        <v>1150</v>
      </c>
      <c r="B274" s="987" t="s">
        <v>1244</v>
      </c>
      <c r="C274" s="1818" t="s">
        <v>1349</v>
      </c>
      <c r="D274" s="814" t="s">
        <v>29</v>
      </c>
    </row>
    <row r="275" spans="1:4" x14ac:dyDescent="0.25">
      <c r="A275" s="988">
        <v>5.1100000000000003</v>
      </c>
      <c r="B275" s="987" t="s">
        <v>1356</v>
      </c>
      <c r="C275" s="1818" t="s">
        <v>1349</v>
      </c>
      <c r="D275" s="814" t="s">
        <v>29</v>
      </c>
    </row>
    <row r="276" spans="1:4" x14ac:dyDescent="0.25">
      <c r="A276" s="988">
        <v>5.12</v>
      </c>
      <c r="B276" s="987" t="s">
        <v>1356</v>
      </c>
      <c r="C276" s="1818" t="s">
        <v>1349</v>
      </c>
      <c r="D276" s="814" t="s">
        <v>29</v>
      </c>
    </row>
    <row r="277" spans="1:4" x14ac:dyDescent="0.25">
      <c r="A277" s="990">
        <v>5.13</v>
      </c>
      <c r="B277" s="991" t="s">
        <v>1356</v>
      </c>
      <c r="C277" s="1818" t="s">
        <v>1349</v>
      </c>
      <c r="D277" s="814" t="s">
        <v>29</v>
      </c>
    </row>
    <row r="278" spans="1:4" x14ac:dyDescent="0.25">
      <c r="A278" s="984" t="s">
        <v>1147</v>
      </c>
      <c r="B278" s="985" t="s">
        <v>1091</v>
      </c>
      <c r="C278" s="1818" t="s">
        <v>1349</v>
      </c>
      <c r="D278" s="814" t="s">
        <v>29</v>
      </c>
    </row>
    <row r="279" spans="1:4" x14ac:dyDescent="0.25">
      <c r="A279" s="988" t="s">
        <v>1145</v>
      </c>
      <c r="B279" s="987" t="s">
        <v>1091</v>
      </c>
      <c r="C279" s="1818" t="s">
        <v>1349</v>
      </c>
      <c r="D279" s="814" t="s">
        <v>29</v>
      </c>
    </row>
    <row r="280" spans="1:4" x14ac:dyDescent="0.25">
      <c r="A280" s="988" t="s">
        <v>1143</v>
      </c>
      <c r="B280" s="987" t="s">
        <v>1234</v>
      </c>
      <c r="C280" s="1818" t="s">
        <v>1349</v>
      </c>
      <c r="D280" s="814" t="s">
        <v>29</v>
      </c>
    </row>
    <row r="281" spans="1:4" x14ac:dyDescent="0.25">
      <c r="A281" s="988" t="s">
        <v>1141</v>
      </c>
      <c r="B281" s="987" t="s">
        <v>1235</v>
      </c>
      <c r="C281" s="1818" t="s">
        <v>1349</v>
      </c>
      <c r="D281" s="814" t="s">
        <v>29</v>
      </c>
    </row>
    <row r="282" spans="1:4" x14ac:dyDescent="0.25">
      <c r="A282" s="988" t="s">
        <v>1139</v>
      </c>
      <c r="B282" s="987" t="s">
        <v>1234</v>
      </c>
      <c r="C282" s="1818" t="s">
        <v>1349</v>
      </c>
      <c r="D282" s="814" t="s">
        <v>29</v>
      </c>
    </row>
    <row r="283" spans="1:4" x14ac:dyDescent="0.25">
      <c r="A283" s="988" t="s">
        <v>1137</v>
      </c>
      <c r="B283" s="987" t="s">
        <v>1234</v>
      </c>
      <c r="C283" s="1818" t="s">
        <v>1349</v>
      </c>
      <c r="D283" s="814" t="s">
        <v>29</v>
      </c>
    </row>
    <row r="284" spans="1:4" x14ac:dyDescent="0.25">
      <c r="A284" s="988" t="s">
        <v>1135</v>
      </c>
      <c r="B284" s="987" t="s">
        <v>1237</v>
      </c>
      <c r="C284" s="1818" t="s">
        <v>1349</v>
      </c>
      <c r="D284" s="814" t="s">
        <v>29</v>
      </c>
    </row>
    <row r="285" spans="1:4" x14ac:dyDescent="0.25">
      <c r="A285" s="988" t="s">
        <v>1133</v>
      </c>
      <c r="B285" s="987" t="s">
        <v>1237</v>
      </c>
      <c r="C285" s="1818" t="s">
        <v>1349</v>
      </c>
      <c r="D285" s="814" t="s">
        <v>29</v>
      </c>
    </row>
    <row r="286" spans="1:4" x14ac:dyDescent="0.25">
      <c r="A286" s="990" t="s">
        <v>1131</v>
      </c>
      <c r="B286" s="991" t="s">
        <v>1245</v>
      </c>
      <c r="C286" s="1818" t="s">
        <v>1349</v>
      </c>
      <c r="D286" s="814" t="s">
        <v>29</v>
      </c>
    </row>
    <row r="287" spans="1:4" x14ac:dyDescent="0.25">
      <c r="A287" s="984" t="s">
        <v>1127</v>
      </c>
      <c r="B287" s="985" t="s">
        <v>1091</v>
      </c>
      <c r="C287" s="1818" t="s">
        <v>1349</v>
      </c>
      <c r="D287" s="814" t="s">
        <v>29</v>
      </c>
    </row>
    <row r="288" spans="1:4" x14ac:dyDescent="0.25">
      <c r="A288" s="988" t="s">
        <v>1125</v>
      </c>
      <c r="B288" s="989" t="s">
        <v>1124</v>
      </c>
      <c r="C288" s="1818" t="s">
        <v>1349</v>
      </c>
      <c r="D288" s="814" t="s">
        <v>29</v>
      </c>
    </row>
    <row r="289" spans="1:4" x14ac:dyDescent="0.25">
      <c r="A289" s="988" t="s">
        <v>1123</v>
      </c>
      <c r="B289" s="987" t="s">
        <v>1246</v>
      </c>
      <c r="C289" s="1818" t="s">
        <v>1349</v>
      </c>
      <c r="D289" s="814" t="s">
        <v>29</v>
      </c>
    </row>
    <row r="290" spans="1:4" x14ac:dyDescent="0.25">
      <c r="A290" s="988" t="s">
        <v>1121</v>
      </c>
      <c r="B290" s="987" t="s">
        <v>1091</v>
      </c>
      <c r="C290" s="1818" t="s">
        <v>1349</v>
      </c>
      <c r="D290" s="814" t="s">
        <v>29</v>
      </c>
    </row>
    <row r="291" spans="1:4" x14ac:dyDescent="0.25">
      <c r="A291" s="986" t="s">
        <v>1215</v>
      </c>
      <c r="B291" s="987" t="s">
        <v>1356</v>
      </c>
      <c r="C291" s="1818" t="s">
        <v>1349</v>
      </c>
      <c r="D291" s="814" t="s">
        <v>29</v>
      </c>
    </row>
    <row r="292" spans="1:4" x14ac:dyDescent="0.25">
      <c r="A292" s="988" t="s">
        <v>1120</v>
      </c>
      <c r="B292" s="987" t="s">
        <v>1091</v>
      </c>
      <c r="C292" s="1818" t="s">
        <v>1349</v>
      </c>
      <c r="D292" s="814" t="s">
        <v>29</v>
      </c>
    </row>
    <row r="293" spans="1:4" x14ac:dyDescent="0.25">
      <c r="A293" s="986" t="s">
        <v>1216</v>
      </c>
      <c r="B293" s="987" t="s">
        <v>1356</v>
      </c>
      <c r="C293" s="1818" t="s">
        <v>1349</v>
      </c>
      <c r="D293" s="814" t="s">
        <v>29</v>
      </c>
    </row>
    <row r="294" spans="1:4" x14ac:dyDescent="0.25">
      <c r="A294" s="988">
        <v>7.5</v>
      </c>
      <c r="B294" s="987" t="s">
        <v>1091</v>
      </c>
      <c r="C294" s="1818" t="s">
        <v>1349</v>
      </c>
      <c r="D294" s="814" t="s">
        <v>29</v>
      </c>
    </row>
    <row r="295" spans="1:4" x14ac:dyDescent="0.25">
      <c r="A295" s="988">
        <v>7.6</v>
      </c>
      <c r="B295" s="987" t="s">
        <v>1091</v>
      </c>
      <c r="C295" s="1818" t="s">
        <v>1349</v>
      </c>
      <c r="D295" s="814" t="s">
        <v>29</v>
      </c>
    </row>
    <row r="296" spans="1:4" x14ac:dyDescent="0.25">
      <c r="A296" s="988">
        <v>7.7</v>
      </c>
      <c r="B296" s="987" t="s">
        <v>1091</v>
      </c>
      <c r="C296" s="1818" t="s">
        <v>1349</v>
      </c>
      <c r="D296" s="814" t="s">
        <v>29</v>
      </c>
    </row>
    <row r="297" spans="1:4" x14ac:dyDescent="0.25">
      <c r="A297" s="988">
        <v>7.8</v>
      </c>
      <c r="B297" s="987" t="s">
        <v>1091</v>
      </c>
      <c r="C297" s="1818" t="s">
        <v>1349</v>
      </c>
      <c r="D297" s="814" t="s">
        <v>29</v>
      </c>
    </row>
    <row r="298" spans="1:4" x14ac:dyDescent="0.25">
      <c r="A298" s="1000" t="s">
        <v>1115</v>
      </c>
      <c r="B298" s="987" t="s">
        <v>1091</v>
      </c>
      <c r="C298" s="1818" t="s">
        <v>1349</v>
      </c>
      <c r="D298" s="814" t="s">
        <v>29</v>
      </c>
    </row>
    <row r="299" spans="1:4" x14ac:dyDescent="0.25">
      <c r="A299" s="988" t="s">
        <v>1114</v>
      </c>
      <c r="B299" s="987" t="s">
        <v>1091</v>
      </c>
      <c r="C299" s="1818" t="s">
        <v>1349</v>
      </c>
      <c r="D299" s="814" t="s">
        <v>29</v>
      </c>
    </row>
    <row r="300" spans="1:4" x14ac:dyDescent="0.25">
      <c r="A300" s="988" t="s">
        <v>1112</v>
      </c>
      <c r="B300" s="987" t="s">
        <v>1091</v>
      </c>
      <c r="C300" s="1818" t="s">
        <v>1349</v>
      </c>
      <c r="D300" s="814" t="s">
        <v>29</v>
      </c>
    </row>
    <row r="301" spans="1:4" x14ac:dyDescent="0.25">
      <c r="A301" s="988" t="s">
        <v>1110</v>
      </c>
      <c r="B301" s="987" t="s">
        <v>1091</v>
      </c>
      <c r="C301" s="1818" t="s">
        <v>1349</v>
      </c>
      <c r="D301" s="814" t="s">
        <v>29</v>
      </c>
    </row>
    <row r="302" spans="1:4" x14ac:dyDescent="0.25">
      <c r="A302" s="988">
        <v>7.11</v>
      </c>
      <c r="B302" s="987" t="s">
        <v>1091</v>
      </c>
      <c r="C302" s="1818" t="s">
        <v>1349</v>
      </c>
      <c r="D302" s="814" t="s">
        <v>29</v>
      </c>
    </row>
    <row r="303" spans="1:4" x14ac:dyDescent="0.25">
      <c r="A303" s="988">
        <v>7.12</v>
      </c>
      <c r="B303" s="987" t="s">
        <v>1091</v>
      </c>
      <c r="C303" s="1818" t="s">
        <v>1349</v>
      </c>
      <c r="D303" s="814" t="s">
        <v>29</v>
      </c>
    </row>
    <row r="304" spans="1:4" x14ac:dyDescent="0.25">
      <c r="A304" s="988">
        <v>7.13</v>
      </c>
      <c r="B304" s="987" t="s">
        <v>1359</v>
      </c>
      <c r="C304" s="1818" t="s">
        <v>1349</v>
      </c>
      <c r="D304" s="814" t="s">
        <v>29</v>
      </c>
    </row>
    <row r="305" spans="1:4" x14ac:dyDescent="0.25">
      <c r="A305" s="988">
        <v>7.14</v>
      </c>
      <c r="B305" s="987" t="s">
        <v>1091</v>
      </c>
      <c r="C305" s="1818" t="s">
        <v>1349</v>
      </c>
      <c r="D305" s="814" t="s">
        <v>29</v>
      </c>
    </row>
    <row r="306" spans="1:4" x14ac:dyDescent="0.25">
      <c r="A306" s="988">
        <v>7.15</v>
      </c>
      <c r="B306" s="987" t="s">
        <v>1091</v>
      </c>
      <c r="C306" s="1818" t="s">
        <v>1349</v>
      </c>
      <c r="D306" s="814" t="s">
        <v>29</v>
      </c>
    </row>
    <row r="307" spans="1:4" x14ac:dyDescent="0.25">
      <c r="A307" s="988">
        <v>7.16</v>
      </c>
      <c r="B307" s="987" t="s">
        <v>1091</v>
      </c>
      <c r="C307" s="1818" t="s">
        <v>1349</v>
      </c>
      <c r="D307" s="814" t="s">
        <v>29</v>
      </c>
    </row>
    <row r="308" spans="1:4" x14ac:dyDescent="0.25">
      <c r="A308" s="990">
        <v>7.17</v>
      </c>
      <c r="B308" s="991" t="s">
        <v>1247</v>
      </c>
      <c r="C308" s="1818" t="s">
        <v>1349</v>
      </c>
      <c r="D308" s="814" t="s">
        <v>29</v>
      </c>
    </row>
    <row r="309" spans="1:4" x14ac:dyDescent="0.25">
      <c r="A309" s="984" t="s">
        <v>1097</v>
      </c>
      <c r="B309" s="985" t="s">
        <v>1091</v>
      </c>
      <c r="C309" s="1818" t="s">
        <v>1349</v>
      </c>
      <c r="D309" s="814" t="s">
        <v>29</v>
      </c>
    </row>
    <row r="310" spans="1:4" x14ac:dyDescent="0.25">
      <c r="A310" s="988" t="s">
        <v>1095</v>
      </c>
      <c r="B310" s="987" t="s">
        <v>1091</v>
      </c>
      <c r="C310" s="1818" t="s">
        <v>1349</v>
      </c>
      <c r="D310" s="814" t="s">
        <v>29</v>
      </c>
    </row>
    <row r="311" spans="1:4" x14ac:dyDescent="0.25">
      <c r="A311" s="988" t="s">
        <v>1093</v>
      </c>
      <c r="B311" s="987" t="s">
        <v>1091</v>
      </c>
      <c r="C311" s="1818" t="s">
        <v>1349</v>
      </c>
      <c r="D311" s="814" t="s">
        <v>29</v>
      </c>
    </row>
    <row r="312" spans="1:4" x14ac:dyDescent="0.25">
      <c r="A312" s="988" t="s">
        <v>1090</v>
      </c>
      <c r="B312" s="987" t="s">
        <v>1247</v>
      </c>
      <c r="C312" s="1818" t="s">
        <v>1349</v>
      </c>
      <c r="D312" s="814" t="s">
        <v>29</v>
      </c>
    </row>
    <row r="313" spans="1:4" x14ac:dyDescent="0.25">
      <c r="A313" s="990" t="s">
        <v>1088</v>
      </c>
      <c r="B313" s="991" t="s">
        <v>1248</v>
      </c>
      <c r="C313" s="1818" t="s">
        <v>1349</v>
      </c>
      <c r="D313" s="814" t="s">
        <v>29</v>
      </c>
    </row>
    <row r="314" spans="1:4" x14ac:dyDescent="0.25">
      <c r="A314" s="955">
        <v>1.1000000000000001</v>
      </c>
      <c r="B314" s="956" t="s">
        <v>1091</v>
      </c>
      <c r="C314" s="1818" t="s">
        <v>1349</v>
      </c>
      <c r="D314" s="814" t="s">
        <v>1360</v>
      </c>
    </row>
    <row r="315" spans="1:4" x14ac:dyDescent="0.25">
      <c r="A315" s="957">
        <v>1.2</v>
      </c>
      <c r="B315" s="958" t="s">
        <v>1236</v>
      </c>
      <c r="C315" s="1818" t="s">
        <v>1349</v>
      </c>
      <c r="D315" s="814" t="s">
        <v>1360</v>
      </c>
    </row>
    <row r="316" spans="1:4" x14ac:dyDescent="0.25">
      <c r="A316" s="967">
        <v>2.1</v>
      </c>
      <c r="B316" s="956" t="s">
        <v>1091</v>
      </c>
      <c r="C316" s="1818" t="s">
        <v>1349</v>
      </c>
      <c r="D316" s="814" t="s">
        <v>1360</v>
      </c>
    </row>
    <row r="317" spans="1:4" x14ac:dyDescent="0.25">
      <c r="A317" s="968">
        <v>2.2000000000000002</v>
      </c>
      <c r="B317" s="969" t="s">
        <v>1356</v>
      </c>
      <c r="C317" s="1818" t="s">
        <v>1349</v>
      </c>
      <c r="D317" s="814" t="s">
        <v>1360</v>
      </c>
    </row>
    <row r="318" spans="1:4" x14ac:dyDescent="0.25">
      <c r="A318" s="968">
        <v>2.2999999999999998</v>
      </c>
      <c r="B318" s="969" t="s">
        <v>1091</v>
      </c>
      <c r="C318" s="1818" t="s">
        <v>1349</v>
      </c>
      <c r="D318" s="814" t="s">
        <v>1360</v>
      </c>
    </row>
    <row r="319" spans="1:4" x14ac:dyDescent="0.25">
      <c r="A319" s="968">
        <v>2.4</v>
      </c>
      <c r="B319" s="969" t="s">
        <v>1237</v>
      </c>
      <c r="C319" s="1818" t="s">
        <v>1349</v>
      </c>
      <c r="D319" s="814" t="s">
        <v>1360</v>
      </c>
    </row>
    <row r="320" spans="1:4" x14ac:dyDescent="0.25">
      <c r="A320" s="968">
        <v>2.5</v>
      </c>
      <c r="B320" s="969" t="s">
        <v>1247</v>
      </c>
      <c r="C320" s="1818" t="s">
        <v>1349</v>
      </c>
      <c r="D320" s="814" t="s">
        <v>1360</v>
      </c>
    </row>
    <row r="321" spans="1:4" x14ac:dyDescent="0.25">
      <c r="A321" s="968">
        <v>2.6</v>
      </c>
      <c r="B321" s="969" t="s">
        <v>1238</v>
      </c>
      <c r="C321" s="1818" t="s">
        <v>1349</v>
      </c>
      <c r="D321" s="814" t="s">
        <v>1360</v>
      </c>
    </row>
    <row r="322" spans="1:4" x14ac:dyDescent="0.25">
      <c r="A322" s="971" t="s">
        <v>1219</v>
      </c>
      <c r="B322" s="969" t="s">
        <v>1091</v>
      </c>
      <c r="C322" s="1818" t="s">
        <v>1349</v>
      </c>
      <c r="D322" s="814" t="s">
        <v>1360</v>
      </c>
    </row>
    <row r="323" spans="1:4" x14ac:dyDescent="0.25">
      <c r="A323" s="968" t="s">
        <v>1200</v>
      </c>
      <c r="B323" s="969" t="s">
        <v>1364</v>
      </c>
      <c r="C323" s="1818" t="s">
        <v>1349</v>
      </c>
      <c r="D323" s="814" t="s">
        <v>1360</v>
      </c>
    </row>
    <row r="324" spans="1:4" x14ac:dyDescent="0.25">
      <c r="A324" s="968">
        <v>2.8</v>
      </c>
      <c r="B324" s="969" t="s">
        <v>1241</v>
      </c>
      <c r="C324" s="1818" t="s">
        <v>1349</v>
      </c>
      <c r="D324" s="814" t="s">
        <v>1360</v>
      </c>
    </row>
    <row r="325" spans="1:4" x14ac:dyDescent="0.25">
      <c r="A325" s="968">
        <v>2.9</v>
      </c>
      <c r="B325" s="969" t="s">
        <v>1239</v>
      </c>
      <c r="C325" s="1818" t="s">
        <v>1349</v>
      </c>
      <c r="D325" s="814" t="s">
        <v>1360</v>
      </c>
    </row>
    <row r="326" spans="1:4" x14ac:dyDescent="0.25">
      <c r="A326" s="974" t="s">
        <v>1196</v>
      </c>
      <c r="B326" s="958" t="s">
        <v>1238</v>
      </c>
      <c r="C326" s="1818" t="s">
        <v>1349</v>
      </c>
      <c r="D326" s="814" t="s">
        <v>1360</v>
      </c>
    </row>
    <row r="327" spans="1:4" x14ac:dyDescent="0.25">
      <c r="A327" s="967" t="s">
        <v>1192</v>
      </c>
      <c r="B327" s="956" t="s">
        <v>1091</v>
      </c>
      <c r="C327" s="1818" t="s">
        <v>1349</v>
      </c>
      <c r="D327" s="814" t="s">
        <v>1360</v>
      </c>
    </row>
    <row r="328" spans="1:4" x14ac:dyDescent="0.25">
      <c r="A328" s="968" t="s">
        <v>1190</v>
      </c>
      <c r="B328" s="969" t="s">
        <v>1091</v>
      </c>
      <c r="C328" s="1818" t="s">
        <v>1349</v>
      </c>
      <c r="D328" s="814" t="s">
        <v>1360</v>
      </c>
    </row>
    <row r="329" spans="1:4" x14ac:dyDescent="0.25">
      <c r="A329" s="968" t="s">
        <v>1188</v>
      </c>
      <c r="B329" s="975" t="s">
        <v>1187</v>
      </c>
      <c r="C329" s="1818" t="s">
        <v>1349</v>
      </c>
      <c r="D329" s="814" t="s">
        <v>1360</v>
      </c>
    </row>
    <row r="330" spans="1:4" x14ac:dyDescent="0.25">
      <c r="A330" s="968" t="s">
        <v>1186</v>
      </c>
      <c r="B330" s="969" t="s">
        <v>1237</v>
      </c>
      <c r="C330" s="1818" t="s">
        <v>1349</v>
      </c>
      <c r="D330" s="814" t="s">
        <v>1360</v>
      </c>
    </row>
    <row r="331" spans="1:4" x14ac:dyDescent="0.25">
      <c r="A331" s="968" t="s">
        <v>1185</v>
      </c>
      <c r="B331" s="969" t="s">
        <v>1234</v>
      </c>
      <c r="C331" s="1818" t="s">
        <v>1349</v>
      </c>
      <c r="D331" s="814" t="s">
        <v>1360</v>
      </c>
    </row>
    <row r="332" spans="1:4" x14ac:dyDescent="0.25">
      <c r="A332" s="968" t="s">
        <v>1183</v>
      </c>
      <c r="B332" s="975" t="s">
        <v>1181</v>
      </c>
      <c r="C332" s="1818" t="s">
        <v>1349</v>
      </c>
      <c r="D332" s="814" t="s">
        <v>1360</v>
      </c>
    </row>
    <row r="333" spans="1:4" x14ac:dyDescent="0.25">
      <c r="A333" s="968" t="s">
        <v>1180</v>
      </c>
      <c r="B333" s="969" t="s">
        <v>1240</v>
      </c>
      <c r="C333" s="1818" t="s">
        <v>1349</v>
      </c>
      <c r="D333" s="814" t="s">
        <v>1360</v>
      </c>
    </row>
    <row r="334" spans="1:4" x14ac:dyDescent="0.25">
      <c r="A334" s="968" t="s">
        <v>1178</v>
      </c>
      <c r="B334" s="958" t="s">
        <v>1091</v>
      </c>
      <c r="C334" s="1818" t="s">
        <v>1349</v>
      </c>
      <c r="D334" s="814" t="s">
        <v>1360</v>
      </c>
    </row>
    <row r="335" spans="1:4" x14ac:dyDescent="0.25">
      <c r="A335" s="976" t="s">
        <v>1174</v>
      </c>
      <c r="B335" s="977" t="s">
        <v>1091</v>
      </c>
      <c r="C335" s="1818" t="s">
        <v>1349</v>
      </c>
      <c r="D335" s="814" t="s">
        <v>1360</v>
      </c>
    </row>
    <row r="336" spans="1:4" x14ac:dyDescent="0.25">
      <c r="A336" s="978" t="s">
        <v>1173</v>
      </c>
      <c r="B336" s="979" t="s">
        <v>1240</v>
      </c>
      <c r="C336" s="1818" t="s">
        <v>1349</v>
      </c>
      <c r="D336" s="814" t="s">
        <v>1360</v>
      </c>
    </row>
    <row r="337" spans="1:4" x14ac:dyDescent="0.25">
      <c r="A337" s="978" t="s">
        <v>1172</v>
      </c>
      <c r="B337" s="980" t="s">
        <v>1242</v>
      </c>
      <c r="C337" s="1818" t="s">
        <v>1349</v>
      </c>
      <c r="D337" s="814" t="s">
        <v>1360</v>
      </c>
    </row>
    <row r="338" spans="1:4" x14ac:dyDescent="0.25">
      <c r="A338" s="984" t="s">
        <v>1168</v>
      </c>
      <c r="B338" s="985" t="s">
        <v>1356</v>
      </c>
      <c r="C338" s="1818" t="s">
        <v>1349</v>
      </c>
      <c r="D338" s="814" t="s">
        <v>1360</v>
      </c>
    </row>
    <row r="339" spans="1:4" x14ac:dyDescent="0.25">
      <c r="A339" s="986" t="s">
        <v>1212</v>
      </c>
      <c r="B339" s="987" t="s">
        <v>1091</v>
      </c>
      <c r="C339" s="1818" t="s">
        <v>1349</v>
      </c>
      <c r="D339" s="814" t="s">
        <v>1360</v>
      </c>
    </row>
    <row r="340" spans="1:4" x14ac:dyDescent="0.25">
      <c r="A340" s="988" t="s">
        <v>1167</v>
      </c>
      <c r="B340" s="987" t="s">
        <v>1356</v>
      </c>
      <c r="C340" s="1818" t="s">
        <v>1349</v>
      </c>
      <c r="D340" s="814" t="s">
        <v>1360</v>
      </c>
    </row>
    <row r="341" spans="1:4" x14ac:dyDescent="0.25">
      <c r="A341" s="986" t="s">
        <v>1213</v>
      </c>
      <c r="B341" s="987" t="s">
        <v>1237</v>
      </c>
      <c r="C341" s="1818" t="s">
        <v>1349</v>
      </c>
      <c r="D341" s="814" t="s">
        <v>1360</v>
      </c>
    </row>
    <row r="342" spans="1:4" x14ac:dyDescent="0.25">
      <c r="A342" s="988" t="s">
        <v>1166</v>
      </c>
      <c r="B342" s="987" t="s">
        <v>1091</v>
      </c>
      <c r="C342" s="1818" t="s">
        <v>1349</v>
      </c>
      <c r="D342" s="814" t="s">
        <v>1360</v>
      </c>
    </row>
    <row r="343" spans="1:4" x14ac:dyDescent="0.25">
      <c r="A343" s="988" t="s">
        <v>1164</v>
      </c>
      <c r="B343" s="989" t="s">
        <v>1162</v>
      </c>
      <c r="C343" s="1818" t="s">
        <v>1349</v>
      </c>
      <c r="D343" s="814" t="s">
        <v>1360</v>
      </c>
    </row>
    <row r="344" spans="1:4" x14ac:dyDescent="0.25">
      <c r="A344" s="988" t="s">
        <v>1161</v>
      </c>
      <c r="B344" s="987" t="s">
        <v>1238</v>
      </c>
      <c r="C344" s="1818" t="s">
        <v>1349</v>
      </c>
      <c r="D344" s="814" t="s">
        <v>1360</v>
      </c>
    </row>
    <row r="345" spans="1:4" x14ac:dyDescent="0.25">
      <c r="A345" s="988" t="s">
        <v>1159</v>
      </c>
      <c r="B345" s="987" t="s">
        <v>1091</v>
      </c>
      <c r="C345" s="1818" t="s">
        <v>1349</v>
      </c>
      <c r="D345" s="814" t="s">
        <v>1360</v>
      </c>
    </row>
    <row r="346" spans="1:4" x14ac:dyDescent="0.25">
      <c r="A346" s="988" t="s">
        <v>1157</v>
      </c>
      <c r="B346" s="987" t="s">
        <v>1356</v>
      </c>
      <c r="C346" s="1818" t="s">
        <v>1349</v>
      </c>
      <c r="D346" s="814" t="s">
        <v>1360</v>
      </c>
    </row>
    <row r="347" spans="1:4" x14ac:dyDescent="0.25">
      <c r="A347" s="986" t="s">
        <v>1214</v>
      </c>
      <c r="B347" s="987" t="s">
        <v>1248</v>
      </c>
      <c r="C347" s="1818" t="s">
        <v>1349</v>
      </c>
      <c r="D347" s="814" t="s">
        <v>1360</v>
      </c>
    </row>
    <row r="348" spans="1:4" x14ac:dyDescent="0.25">
      <c r="A348" s="988" t="s">
        <v>1156</v>
      </c>
      <c r="B348" s="987" t="s">
        <v>1232</v>
      </c>
      <c r="C348" s="1818" t="s">
        <v>1349</v>
      </c>
      <c r="D348" s="814" t="s">
        <v>1360</v>
      </c>
    </row>
    <row r="349" spans="1:4" x14ac:dyDescent="0.25">
      <c r="A349" s="988" t="s">
        <v>1155</v>
      </c>
      <c r="B349" s="987" t="s">
        <v>1243</v>
      </c>
      <c r="C349" s="1818" t="s">
        <v>1349</v>
      </c>
      <c r="D349" s="814" t="s">
        <v>1360</v>
      </c>
    </row>
    <row r="350" spans="1:4" x14ac:dyDescent="0.25">
      <c r="A350" s="988" t="s">
        <v>1153</v>
      </c>
      <c r="B350" s="987" t="s">
        <v>1233</v>
      </c>
      <c r="C350" s="1818" t="s">
        <v>1349</v>
      </c>
      <c r="D350" s="814" t="s">
        <v>1360</v>
      </c>
    </row>
    <row r="351" spans="1:4" x14ac:dyDescent="0.25">
      <c r="A351" s="988" t="s">
        <v>1152</v>
      </c>
      <c r="B351" s="987" t="s">
        <v>1091</v>
      </c>
      <c r="C351" s="1818" t="s">
        <v>1349</v>
      </c>
      <c r="D351" s="814" t="s">
        <v>1360</v>
      </c>
    </row>
    <row r="352" spans="1:4" x14ac:dyDescent="0.25">
      <c r="A352" s="988" t="s">
        <v>1150</v>
      </c>
      <c r="B352" s="987" t="s">
        <v>1244</v>
      </c>
      <c r="C352" s="1818" t="s">
        <v>1349</v>
      </c>
      <c r="D352" s="814" t="s">
        <v>1360</v>
      </c>
    </row>
    <row r="353" spans="1:4" x14ac:dyDescent="0.25">
      <c r="A353" s="988">
        <v>5.1100000000000003</v>
      </c>
      <c r="B353" s="987" t="s">
        <v>1361</v>
      </c>
      <c r="C353" s="1818" t="s">
        <v>1349</v>
      </c>
      <c r="D353" s="814" t="s">
        <v>1360</v>
      </c>
    </row>
    <row r="354" spans="1:4" x14ac:dyDescent="0.25">
      <c r="A354" s="988">
        <v>5.12</v>
      </c>
      <c r="B354" s="987" t="s">
        <v>1239</v>
      </c>
      <c r="C354" s="1818" t="s">
        <v>1349</v>
      </c>
      <c r="D354" s="814" t="s">
        <v>1360</v>
      </c>
    </row>
    <row r="355" spans="1:4" x14ac:dyDescent="0.25">
      <c r="A355" s="990">
        <v>5.13</v>
      </c>
      <c r="B355" s="991" t="s">
        <v>1362</v>
      </c>
      <c r="C355" s="1818" t="s">
        <v>1349</v>
      </c>
      <c r="D355" s="814" t="s">
        <v>1360</v>
      </c>
    </row>
    <row r="356" spans="1:4" x14ac:dyDescent="0.25">
      <c r="A356" s="984" t="s">
        <v>1147</v>
      </c>
      <c r="B356" s="985" t="s">
        <v>1091</v>
      </c>
      <c r="C356" s="1818" t="s">
        <v>1349</v>
      </c>
      <c r="D356" s="814" t="s">
        <v>1360</v>
      </c>
    </row>
    <row r="357" spans="1:4" x14ac:dyDescent="0.25">
      <c r="A357" s="988" t="s">
        <v>1145</v>
      </c>
      <c r="B357" s="987" t="s">
        <v>1091</v>
      </c>
      <c r="C357" s="1818" t="s">
        <v>1349</v>
      </c>
      <c r="D357" s="814" t="s">
        <v>1360</v>
      </c>
    </row>
    <row r="358" spans="1:4" x14ac:dyDescent="0.25">
      <c r="A358" s="988" t="s">
        <v>1143</v>
      </c>
      <c r="B358" s="987" t="s">
        <v>1234</v>
      </c>
      <c r="C358" s="1818" t="s">
        <v>1349</v>
      </c>
      <c r="D358" s="814" t="s">
        <v>1360</v>
      </c>
    </row>
    <row r="359" spans="1:4" x14ac:dyDescent="0.25">
      <c r="A359" s="988" t="s">
        <v>1141</v>
      </c>
      <c r="B359" s="987" t="s">
        <v>1235</v>
      </c>
      <c r="C359" s="1818" t="s">
        <v>1349</v>
      </c>
      <c r="D359" s="814" t="s">
        <v>1360</v>
      </c>
    </row>
    <row r="360" spans="1:4" x14ac:dyDescent="0.25">
      <c r="A360" s="988" t="s">
        <v>1139</v>
      </c>
      <c r="B360" s="987" t="s">
        <v>1234</v>
      </c>
      <c r="C360" s="1818" t="s">
        <v>1349</v>
      </c>
      <c r="D360" s="814" t="s">
        <v>1360</v>
      </c>
    </row>
    <row r="361" spans="1:4" x14ac:dyDescent="0.25">
      <c r="A361" s="988" t="s">
        <v>1137</v>
      </c>
      <c r="B361" s="987" t="s">
        <v>1234</v>
      </c>
      <c r="C361" s="1818" t="s">
        <v>1349</v>
      </c>
      <c r="D361" s="814" t="s">
        <v>1360</v>
      </c>
    </row>
    <row r="362" spans="1:4" x14ac:dyDescent="0.25">
      <c r="A362" s="988" t="s">
        <v>1135</v>
      </c>
      <c r="B362" s="987" t="s">
        <v>1237</v>
      </c>
      <c r="C362" s="1818" t="s">
        <v>1349</v>
      </c>
      <c r="D362" s="814" t="s">
        <v>1360</v>
      </c>
    </row>
    <row r="363" spans="1:4" x14ac:dyDescent="0.25">
      <c r="A363" s="988" t="s">
        <v>1133</v>
      </c>
      <c r="B363" s="987" t="s">
        <v>1237</v>
      </c>
      <c r="C363" s="1818" t="s">
        <v>1349</v>
      </c>
      <c r="D363" s="814" t="s">
        <v>1360</v>
      </c>
    </row>
    <row r="364" spans="1:4" x14ac:dyDescent="0.25">
      <c r="A364" s="990" t="s">
        <v>1131</v>
      </c>
      <c r="B364" s="991" t="s">
        <v>1245</v>
      </c>
      <c r="C364" s="1818" t="s">
        <v>1349</v>
      </c>
      <c r="D364" s="814" t="s">
        <v>1360</v>
      </c>
    </row>
    <row r="365" spans="1:4" x14ac:dyDescent="0.25">
      <c r="A365" s="984" t="s">
        <v>1127</v>
      </c>
      <c r="B365" s="985" t="s">
        <v>1091</v>
      </c>
      <c r="C365" s="1818" t="s">
        <v>1349</v>
      </c>
      <c r="D365" s="814" t="s">
        <v>1360</v>
      </c>
    </row>
    <row r="366" spans="1:4" x14ac:dyDescent="0.25">
      <c r="A366" s="988" t="s">
        <v>1125</v>
      </c>
      <c r="B366" s="989" t="s">
        <v>1124</v>
      </c>
      <c r="C366" s="1818" t="s">
        <v>1349</v>
      </c>
      <c r="D366" s="814" t="s">
        <v>1360</v>
      </c>
    </row>
    <row r="367" spans="1:4" x14ac:dyDescent="0.25">
      <c r="A367" s="988" t="s">
        <v>1123</v>
      </c>
      <c r="B367" s="987" t="s">
        <v>1246</v>
      </c>
      <c r="C367" s="1818" t="s">
        <v>1349</v>
      </c>
      <c r="D367" s="814" t="s">
        <v>1360</v>
      </c>
    </row>
    <row r="368" spans="1:4" x14ac:dyDescent="0.25">
      <c r="A368" s="988" t="s">
        <v>1121</v>
      </c>
      <c r="B368" s="987" t="s">
        <v>1356</v>
      </c>
      <c r="C368" s="1818" t="s">
        <v>1349</v>
      </c>
      <c r="D368" s="814" t="s">
        <v>1360</v>
      </c>
    </row>
    <row r="369" spans="1:4" x14ac:dyDescent="0.25">
      <c r="A369" s="986" t="s">
        <v>1215</v>
      </c>
      <c r="B369" s="987" t="s">
        <v>1237</v>
      </c>
      <c r="C369" s="1818" t="s">
        <v>1349</v>
      </c>
      <c r="D369" s="814" t="s">
        <v>1360</v>
      </c>
    </row>
    <row r="370" spans="1:4" x14ac:dyDescent="0.25">
      <c r="A370" s="988" t="s">
        <v>1120</v>
      </c>
      <c r="B370" s="987" t="s">
        <v>1356</v>
      </c>
      <c r="C370" s="1818" t="s">
        <v>1349</v>
      </c>
      <c r="D370" s="814" t="s">
        <v>1360</v>
      </c>
    </row>
    <row r="371" spans="1:4" x14ac:dyDescent="0.25">
      <c r="A371" s="986" t="s">
        <v>1216</v>
      </c>
      <c r="B371" s="987" t="s">
        <v>1238</v>
      </c>
      <c r="C371" s="1818" t="s">
        <v>1349</v>
      </c>
      <c r="D371" s="814" t="s">
        <v>1360</v>
      </c>
    </row>
    <row r="372" spans="1:4" x14ac:dyDescent="0.25">
      <c r="A372" s="988">
        <v>7.5</v>
      </c>
      <c r="B372" s="987" t="s">
        <v>1091</v>
      </c>
      <c r="C372" s="1818" t="s">
        <v>1349</v>
      </c>
      <c r="D372" s="814" t="s">
        <v>1360</v>
      </c>
    </row>
    <row r="373" spans="1:4" x14ac:dyDescent="0.25">
      <c r="A373" s="988">
        <v>7.6</v>
      </c>
      <c r="B373" s="987" t="s">
        <v>1091</v>
      </c>
      <c r="C373" s="1818" t="s">
        <v>1349</v>
      </c>
      <c r="D373" s="814" t="s">
        <v>1360</v>
      </c>
    </row>
    <row r="374" spans="1:4" x14ac:dyDescent="0.25">
      <c r="A374" s="988">
        <v>7.7</v>
      </c>
      <c r="B374" s="987" t="s">
        <v>1091</v>
      </c>
      <c r="C374" s="1818" t="s">
        <v>1349</v>
      </c>
      <c r="D374" s="814" t="s">
        <v>1360</v>
      </c>
    </row>
    <row r="375" spans="1:4" x14ac:dyDescent="0.25">
      <c r="A375" s="988">
        <v>7.8</v>
      </c>
      <c r="B375" s="987" t="s">
        <v>1091</v>
      </c>
      <c r="C375" s="1818" t="s">
        <v>1349</v>
      </c>
      <c r="D375" s="814" t="s">
        <v>1360</v>
      </c>
    </row>
    <row r="376" spans="1:4" x14ac:dyDescent="0.25">
      <c r="A376" s="1000" t="s">
        <v>1115</v>
      </c>
      <c r="B376" s="987" t="s">
        <v>1356</v>
      </c>
      <c r="C376" s="1818" t="s">
        <v>1349</v>
      </c>
      <c r="D376" s="814" t="s">
        <v>1360</v>
      </c>
    </row>
    <row r="377" spans="1:4" x14ac:dyDescent="0.25">
      <c r="A377" s="988" t="s">
        <v>1114</v>
      </c>
      <c r="B377" s="987" t="s">
        <v>1091</v>
      </c>
      <c r="C377" s="1818" t="s">
        <v>1349</v>
      </c>
      <c r="D377" s="814" t="s">
        <v>1360</v>
      </c>
    </row>
    <row r="378" spans="1:4" x14ac:dyDescent="0.25">
      <c r="A378" s="988" t="s">
        <v>1112</v>
      </c>
      <c r="B378" s="987" t="s">
        <v>1091</v>
      </c>
      <c r="C378" s="1818" t="s">
        <v>1349</v>
      </c>
      <c r="D378" s="814" t="s">
        <v>1360</v>
      </c>
    </row>
    <row r="379" spans="1:4" x14ac:dyDescent="0.25">
      <c r="A379" s="988" t="s">
        <v>1110</v>
      </c>
      <c r="B379" s="987" t="s">
        <v>1091</v>
      </c>
      <c r="C379" s="1818" t="s">
        <v>1349</v>
      </c>
      <c r="D379" s="814" t="s">
        <v>1360</v>
      </c>
    </row>
    <row r="380" spans="1:4" x14ac:dyDescent="0.25">
      <c r="A380" s="988">
        <v>7.11</v>
      </c>
      <c r="B380" s="987" t="s">
        <v>1091</v>
      </c>
      <c r="C380" s="1818" t="s">
        <v>1349</v>
      </c>
      <c r="D380" s="814" t="s">
        <v>1360</v>
      </c>
    </row>
    <row r="381" spans="1:4" x14ac:dyDescent="0.25">
      <c r="A381" s="988">
        <v>7.12</v>
      </c>
      <c r="B381" s="987" t="s">
        <v>1091</v>
      </c>
      <c r="C381" s="1818" t="s">
        <v>1349</v>
      </c>
      <c r="D381" s="814" t="s">
        <v>1360</v>
      </c>
    </row>
    <row r="382" spans="1:4" x14ac:dyDescent="0.25">
      <c r="A382" s="988">
        <v>7.13</v>
      </c>
      <c r="B382" s="987" t="s">
        <v>1356</v>
      </c>
      <c r="C382" s="1818" t="s">
        <v>1349</v>
      </c>
      <c r="D382" s="814" t="s">
        <v>1360</v>
      </c>
    </row>
    <row r="383" spans="1:4" x14ac:dyDescent="0.25">
      <c r="A383" s="988">
        <v>7.14</v>
      </c>
      <c r="B383" s="987" t="s">
        <v>1091</v>
      </c>
      <c r="C383" s="1818" t="s">
        <v>1349</v>
      </c>
      <c r="D383" s="814" t="s">
        <v>1360</v>
      </c>
    </row>
    <row r="384" spans="1:4" x14ac:dyDescent="0.25">
      <c r="A384" s="988">
        <v>7.15</v>
      </c>
      <c r="B384" s="987" t="s">
        <v>1091</v>
      </c>
      <c r="C384" s="1818" t="s">
        <v>1349</v>
      </c>
      <c r="D384" s="814" t="s">
        <v>1360</v>
      </c>
    </row>
    <row r="385" spans="1:4" x14ac:dyDescent="0.25">
      <c r="A385" s="988">
        <v>7.16</v>
      </c>
      <c r="B385" s="987" t="s">
        <v>1091</v>
      </c>
      <c r="C385" s="1818" t="s">
        <v>1349</v>
      </c>
      <c r="D385" s="814" t="s">
        <v>1360</v>
      </c>
    </row>
    <row r="386" spans="1:4" x14ac:dyDescent="0.25">
      <c r="A386" s="990">
        <v>7.17</v>
      </c>
      <c r="B386" s="991" t="s">
        <v>1247</v>
      </c>
      <c r="C386" s="1818" t="s">
        <v>1349</v>
      </c>
      <c r="D386" s="814" t="s">
        <v>1360</v>
      </c>
    </row>
    <row r="387" spans="1:4" x14ac:dyDescent="0.25">
      <c r="A387" s="984" t="s">
        <v>1097</v>
      </c>
      <c r="B387" s="985" t="s">
        <v>1091</v>
      </c>
      <c r="C387" s="1818" t="s">
        <v>1349</v>
      </c>
      <c r="D387" s="814" t="s">
        <v>1360</v>
      </c>
    </row>
    <row r="388" spans="1:4" x14ac:dyDescent="0.25">
      <c r="A388" s="988" t="s">
        <v>1095</v>
      </c>
      <c r="B388" s="987" t="s">
        <v>1091</v>
      </c>
      <c r="C388" s="1818" t="s">
        <v>1349</v>
      </c>
      <c r="D388" s="814" t="s">
        <v>1360</v>
      </c>
    </row>
    <row r="389" spans="1:4" x14ac:dyDescent="0.25">
      <c r="A389" s="988" t="s">
        <v>1093</v>
      </c>
      <c r="B389" s="987" t="s">
        <v>1091</v>
      </c>
      <c r="C389" s="1818" t="s">
        <v>1349</v>
      </c>
      <c r="D389" s="814" t="s">
        <v>1360</v>
      </c>
    </row>
    <row r="390" spans="1:4" x14ac:dyDescent="0.25">
      <c r="A390" s="988" t="s">
        <v>1090</v>
      </c>
      <c r="B390" s="987" t="s">
        <v>1247</v>
      </c>
      <c r="C390" s="1818" t="s">
        <v>1349</v>
      </c>
      <c r="D390" s="814" t="s">
        <v>1360</v>
      </c>
    </row>
    <row r="391" spans="1:4" x14ac:dyDescent="0.25">
      <c r="A391" s="990" t="s">
        <v>1088</v>
      </c>
      <c r="B391" s="991" t="s">
        <v>1248</v>
      </c>
      <c r="C391" s="1818" t="s">
        <v>1349</v>
      </c>
      <c r="D391" s="814" t="s">
        <v>1360</v>
      </c>
    </row>
    <row r="392" spans="1:4" x14ac:dyDescent="0.25">
      <c r="A392" s="955">
        <v>1.1000000000000001</v>
      </c>
      <c r="B392" s="956" t="s">
        <v>1091</v>
      </c>
      <c r="C392" s="1818" t="s">
        <v>1349</v>
      </c>
      <c r="D392" s="814" t="s">
        <v>1363</v>
      </c>
    </row>
    <row r="393" spans="1:4" x14ac:dyDescent="0.25">
      <c r="A393" s="957">
        <v>1.2</v>
      </c>
      <c r="B393" s="958" t="s">
        <v>1236</v>
      </c>
      <c r="C393" s="1818" t="s">
        <v>1349</v>
      </c>
      <c r="D393" s="814" t="s">
        <v>1363</v>
      </c>
    </row>
    <row r="394" spans="1:4" x14ac:dyDescent="0.25">
      <c r="A394" s="967">
        <v>2.1</v>
      </c>
      <c r="B394" s="956" t="s">
        <v>1091</v>
      </c>
      <c r="C394" s="1818" t="s">
        <v>1349</v>
      </c>
      <c r="D394" s="814" t="s">
        <v>1363</v>
      </c>
    </row>
    <row r="395" spans="1:4" x14ac:dyDescent="0.25">
      <c r="A395" s="968">
        <v>2.2000000000000002</v>
      </c>
      <c r="B395" s="969" t="s">
        <v>1356</v>
      </c>
      <c r="C395" s="1818" t="s">
        <v>1349</v>
      </c>
      <c r="D395" s="814" t="s">
        <v>1363</v>
      </c>
    </row>
    <row r="396" spans="1:4" x14ac:dyDescent="0.25">
      <c r="A396" s="968">
        <v>2.2999999999999998</v>
      </c>
      <c r="B396" s="969" t="s">
        <v>1091</v>
      </c>
      <c r="C396" s="1818" t="s">
        <v>1349</v>
      </c>
      <c r="D396" s="814" t="s">
        <v>1363</v>
      </c>
    </row>
    <row r="397" spans="1:4" x14ac:dyDescent="0.25">
      <c r="A397" s="968">
        <v>2.4</v>
      </c>
      <c r="B397" s="969" t="s">
        <v>1237</v>
      </c>
      <c r="C397" s="1818" t="s">
        <v>1349</v>
      </c>
      <c r="D397" s="814" t="s">
        <v>1363</v>
      </c>
    </row>
    <row r="398" spans="1:4" x14ac:dyDescent="0.25">
      <c r="A398" s="968">
        <v>2.5</v>
      </c>
      <c r="B398" s="969" t="s">
        <v>1247</v>
      </c>
      <c r="C398" s="1818" t="s">
        <v>1349</v>
      </c>
      <c r="D398" s="814" t="s">
        <v>1363</v>
      </c>
    </row>
    <row r="399" spans="1:4" x14ac:dyDescent="0.25">
      <c r="A399" s="968">
        <v>2.6</v>
      </c>
      <c r="B399" s="969" t="s">
        <v>1238</v>
      </c>
      <c r="C399" s="1818" t="s">
        <v>1349</v>
      </c>
      <c r="D399" s="814" t="s">
        <v>1363</v>
      </c>
    </row>
    <row r="400" spans="1:4" x14ac:dyDescent="0.25">
      <c r="A400" s="971" t="s">
        <v>1219</v>
      </c>
      <c r="B400" s="969" t="s">
        <v>1091</v>
      </c>
      <c r="C400" s="1818" t="s">
        <v>1349</v>
      </c>
      <c r="D400" s="814" t="s">
        <v>1363</v>
      </c>
    </row>
    <row r="401" spans="1:4" x14ac:dyDescent="0.25">
      <c r="A401" s="968" t="s">
        <v>1200</v>
      </c>
      <c r="B401" s="969" t="s">
        <v>1364</v>
      </c>
      <c r="C401" s="1818" t="s">
        <v>1349</v>
      </c>
      <c r="D401" s="814" t="s">
        <v>1363</v>
      </c>
    </row>
    <row r="402" spans="1:4" x14ac:dyDescent="0.25">
      <c r="A402" s="968">
        <v>2.8</v>
      </c>
      <c r="B402" s="969" t="s">
        <v>1241</v>
      </c>
      <c r="C402" s="1818" t="s">
        <v>1349</v>
      </c>
      <c r="D402" s="814" t="s">
        <v>1363</v>
      </c>
    </row>
    <row r="403" spans="1:4" x14ac:dyDescent="0.25">
      <c r="A403" s="968">
        <v>2.9</v>
      </c>
      <c r="B403" s="969" t="s">
        <v>1239</v>
      </c>
      <c r="C403" s="1818" t="s">
        <v>1349</v>
      </c>
      <c r="D403" s="814" t="s">
        <v>1363</v>
      </c>
    </row>
    <row r="404" spans="1:4" x14ac:dyDescent="0.25">
      <c r="A404" s="974" t="s">
        <v>1196</v>
      </c>
      <c r="B404" s="958" t="s">
        <v>1238</v>
      </c>
      <c r="C404" s="1818" t="s">
        <v>1349</v>
      </c>
      <c r="D404" s="814" t="s">
        <v>1363</v>
      </c>
    </row>
    <row r="405" spans="1:4" x14ac:dyDescent="0.25">
      <c r="A405" s="967" t="s">
        <v>1192</v>
      </c>
      <c r="B405" s="956" t="s">
        <v>1091</v>
      </c>
      <c r="C405" s="1818" t="s">
        <v>1349</v>
      </c>
      <c r="D405" s="814" t="s">
        <v>1363</v>
      </c>
    </row>
    <row r="406" spans="1:4" x14ac:dyDescent="0.25">
      <c r="A406" s="968" t="s">
        <v>1190</v>
      </c>
      <c r="B406" s="969" t="s">
        <v>1091</v>
      </c>
      <c r="C406" s="1818" t="s">
        <v>1349</v>
      </c>
      <c r="D406" s="814" t="s">
        <v>1363</v>
      </c>
    </row>
    <row r="407" spans="1:4" x14ac:dyDescent="0.25">
      <c r="A407" s="968" t="s">
        <v>1188</v>
      </c>
      <c r="B407" s="975" t="s">
        <v>1187</v>
      </c>
      <c r="C407" s="1818" t="s">
        <v>1349</v>
      </c>
      <c r="D407" s="814" t="s">
        <v>1363</v>
      </c>
    </row>
    <row r="408" spans="1:4" x14ac:dyDescent="0.25">
      <c r="A408" s="968" t="s">
        <v>1186</v>
      </c>
      <c r="B408" s="969" t="s">
        <v>1237</v>
      </c>
      <c r="C408" s="1818" t="s">
        <v>1349</v>
      </c>
      <c r="D408" s="814" t="s">
        <v>1363</v>
      </c>
    </row>
    <row r="409" spans="1:4" x14ac:dyDescent="0.25">
      <c r="A409" s="968" t="s">
        <v>1185</v>
      </c>
      <c r="B409" s="969" t="s">
        <v>1234</v>
      </c>
      <c r="C409" s="1818" t="s">
        <v>1349</v>
      </c>
      <c r="D409" s="814" t="s">
        <v>1363</v>
      </c>
    </row>
    <row r="410" spans="1:4" x14ac:dyDescent="0.25">
      <c r="A410" s="968" t="s">
        <v>1183</v>
      </c>
      <c r="B410" s="975" t="s">
        <v>1181</v>
      </c>
      <c r="C410" s="1818" t="s">
        <v>1349</v>
      </c>
      <c r="D410" s="814" t="s">
        <v>1363</v>
      </c>
    </row>
    <row r="411" spans="1:4" x14ac:dyDescent="0.25">
      <c r="A411" s="968" t="s">
        <v>1180</v>
      </c>
      <c r="B411" s="969" t="s">
        <v>1240</v>
      </c>
      <c r="C411" s="1818" t="s">
        <v>1349</v>
      </c>
      <c r="D411" s="814" t="s">
        <v>1363</v>
      </c>
    </row>
    <row r="412" spans="1:4" x14ac:dyDescent="0.25">
      <c r="A412" s="968" t="s">
        <v>1178</v>
      </c>
      <c r="B412" s="958" t="s">
        <v>1091</v>
      </c>
      <c r="C412" s="1818" t="s">
        <v>1349</v>
      </c>
      <c r="D412" s="814" t="s">
        <v>1363</v>
      </c>
    </row>
    <row r="413" spans="1:4" x14ac:dyDescent="0.25">
      <c r="A413" s="976" t="s">
        <v>1174</v>
      </c>
      <c r="B413" s="977" t="s">
        <v>1091</v>
      </c>
      <c r="C413" s="1818" t="s">
        <v>1349</v>
      </c>
      <c r="D413" s="814" t="s">
        <v>1363</v>
      </c>
    </row>
    <row r="414" spans="1:4" x14ac:dyDescent="0.25">
      <c r="A414" s="978" t="s">
        <v>1173</v>
      </c>
      <c r="B414" s="979" t="s">
        <v>1240</v>
      </c>
      <c r="C414" s="1818" t="s">
        <v>1349</v>
      </c>
      <c r="D414" s="814" t="s">
        <v>1363</v>
      </c>
    </row>
    <row r="415" spans="1:4" x14ac:dyDescent="0.25">
      <c r="A415" s="978" t="s">
        <v>1172</v>
      </c>
      <c r="B415" s="980" t="s">
        <v>1242</v>
      </c>
      <c r="C415" s="1818" t="s">
        <v>1349</v>
      </c>
      <c r="D415" s="814" t="s">
        <v>1363</v>
      </c>
    </row>
    <row r="416" spans="1:4" x14ac:dyDescent="0.25">
      <c r="A416" s="984" t="s">
        <v>1168</v>
      </c>
      <c r="B416" s="985" t="s">
        <v>1356</v>
      </c>
      <c r="C416" s="1818" t="s">
        <v>1349</v>
      </c>
      <c r="D416" s="814" t="s">
        <v>1363</v>
      </c>
    </row>
    <row r="417" spans="1:4" x14ac:dyDescent="0.25">
      <c r="A417" s="986" t="s">
        <v>1212</v>
      </c>
      <c r="B417" s="987" t="s">
        <v>1091</v>
      </c>
      <c r="C417" s="1818" t="s">
        <v>1349</v>
      </c>
      <c r="D417" s="814" t="s">
        <v>1363</v>
      </c>
    </row>
    <row r="418" spans="1:4" x14ac:dyDescent="0.25">
      <c r="A418" s="988" t="s">
        <v>1167</v>
      </c>
      <c r="B418" s="987" t="s">
        <v>1356</v>
      </c>
      <c r="C418" s="1818" t="s">
        <v>1349</v>
      </c>
      <c r="D418" s="814" t="s">
        <v>1363</v>
      </c>
    </row>
    <row r="419" spans="1:4" x14ac:dyDescent="0.25">
      <c r="A419" s="986" t="s">
        <v>1213</v>
      </c>
      <c r="B419" s="987" t="s">
        <v>1237</v>
      </c>
      <c r="C419" s="1818" t="s">
        <v>1349</v>
      </c>
      <c r="D419" s="814" t="s">
        <v>1363</v>
      </c>
    </row>
    <row r="420" spans="1:4" x14ac:dyDescent="0.25">
      <c r="A420" s="988" t="s">
        <v>1166</v>
      </c>
      <c r="B420" s="987" t="s">
        <v>1091</v>
      </c>
      <c r="C420" s="1818" t="s">
        <v>1349</v>
      </c>
      <c r="D420" s="814" t="s">
        <v>1363</v>
      </c>
    </row>
    <row r="421" spans="1:4" x14ac:dyDescent="0.25">
      <c r="A421" s="988" t="s">
        <v>1164</v>
      </c>
      <c r="B421" s="989" t="s">
        <v>1162</v>
      </c>
      <c r="C421" s="1818" t="s">
        <v>1349</v>
      </c>
      <c r="D421" s="814" t="s">
        <v>1363</v>
      </c>
    </row>
    <row r="422" spans="1:4" x14ac:dyDescent="0.25">
      <c r="A422" s="988" t="s">
        <v>1161</v>
      </c>
      <c r="B422" s="987" t="s">
        <v>1238</v>
      </c>
      <c r="C422" s="1818" t="s">
        <v>1349</v>
      </c>
      <c r="D422" s="814" t="s">
        <v>1363</v>
      </c>
    </row>
    <row r="423" spans="1:4" x14ac:dyDescent="0.25">
      <c r="A423" s="988" t="s">
        <v>1159</v>
      </c>
      <c r="B423" s="987" t="s">
        <v>1091</v>
      </c>
      <c r="C423" s="1818" t="s">
        <v>1349</v>
      </c>
      <c r="D423" s="814" t="s">
        <v>1363</v>
      </c>
    </row>
    <row r="424" spans="1:4" x14ac:dyDescent="0.25">
      <c r="A424" s="988" t="s">
        <v>1157</v>
      </c>
      <c r="B424" s="987" t="s">
        <v>1356</v>
      </c>
      <c r="C424" s="1818" t="s">
        <v>1349</v>
      </c>
      <c r="D424" s="814" t="s">
        <v>1363</v>
      </c>
    </row>
    <row r="425" spans="1:4" x14ac:dyDescent="0.25">
      <c r="A425" s="986" t="s">
        <v>1214</v>
      </c>
      <c r="B425" s="987" t="s">
        <v>1248</v>
      </c>
      <c r="C425" s="1818" t="s">
        <v>1349</v>
      </c>
      <c r="D425" s="814" t="s">
        <v>1363</v>
      </c>
    </row>
    <row r="426" spans="1:4" x14ac:dyDescent="0.25">
      <c r="A426" s="988" t="s">
        <v>1156</v>
      </c>
      <c r="B426" s="987" t="s">
        <v>1232</v>
      </c>
      <c r="C426" s="1818" t="s">
        <v>1349</v>
      </c>
      <c r="D426" s="814" t="s">
        <v>1363</v>
      </c>
    </row>
    <row r="427" spans="1:4" x14ac:dyDescent="0.25">
      <c r="A427" s="988" t="s">
        <v>1155</v>
      </c>
      <c r="B427" s="987" t="s">
        <v>1243</v>
      </c>
      <c r="C427" s="1818" t="s">
        <v>1349</v>
      </c>
      <c r="D427" s="814" t="s">
        <v>1363</v>
      </c>
    </row>
    <row r="428" spans="1:4" x14ac:dyDescent="0.25">
      <c r="A428" s="988" t="s">
        <v>1153</v>
      </c>
      <c r="B428" s="987" t="s">
        <v>1233</v>
      </c>
      <c r="C428" s="1818" t="s">
        <v>1349</v>
      </c>
      <c r="D428" s="814" t="s">
        <v>1363</v>
      </c>
    </row>
    <row r="429" spans="1:4" x14ac:dyDescent="0.25">
      <c r="A429" s="988" t="s">
        <v>1152</v>
      </c>
      <c r="B429" s="987" t="s">
        <v>1091</v>
      </c>
      <c r="C429" s="1818" t="s">
        <v>1349</v>
      </c>
      <c r="D429" s="814" t="s">
        <v>1363</v>
      </c>
    </row>
    <row r="430" spans="1:4" x14ac:dyDescent="0.25">
      <c r="A430" s="988" t="s">
        <v>1150</v>
      </c>
      <c r="B430" s="987" t="s">
        <v>1244</v>
      </c>
      <c r="C430" s="1818" t="s">
        <v>1349</v>
      </c>
      <c r="D430" s="814" t="s">
        <v>1363</v>
      </c>
    </row>
    <row r="431" spans="1:4" x14ac:dyDescent="0.25">
      <c r="A431" s="988">
        <v>5.1100000000000003</v>
      </c>
      <c r="B431" s="987" t="s">
        <v>1361</v>
      </c>
      <c r="C431" s="1818" t="s">
        <v>1349</v>
      </c>
      <c r="D431" s="814" t="s">
        <v>1363</v>
      </c>
    </row>
    <row r="432" spans="1:4" x14ac:dyDescent="0.25">
      <c r="A432" s="988">
        <v>5.12</v>
      </c>
      <c r="B432" s="987" t="s">
        <v>1239</v>
      </c>
      <c r="C432" s="1818" t="s">
        <v>1349</v>
      </c>
      <c r="D432" s="814" t="s">
        <v>1363</v>
      </c>
    </row>
    <row r="433" spans="1:4" x14ac:dyDescent="0.25">
      <c r="A433" s="990">
        <v>5.13</v>
      </c>
      <c r="B433" s="991" t="s">
        <v>1362</v>
      </c>
      <c r="C433" s="1818" t="s">
        <v>1349</v>
      </c>
      <c r="D433" s="814" t="s">
        <v>1363</v>
      </c>
    </row>
    <row r="434" spans="1:4" x14ac:dyDescent="0.25">
      <c r="A434" s="984" t="s">
        <v>1147</v>
      </c>
      <c r="B434" s="985" t="s">
        <v>1091</v>
      </c>
      <c r="C434" s="1818" t="s">
        <v>1349</v>
      </c>
      <c r="D434" s="814" t="s">
        <v>1363</v>
      </c>
    </row>
    <row r="435" spans="1:4" x14ac:dyDescent="0.25">
      <c r="A435" s="988" t="s">
        <v>1145</v>
      </c>
      <c r="B435" s="987" t="s">
        <v>1091</v>
      </c>
      <c r="C435" s="1818" t="s">
        <v>1349</v>
      </c>
      <c r="D435" s="814" t="s">
        <v>1363</v>
      </c>
    </row>
    <row r="436" spans="1:4" x14ac:dyDescent="0.25">
      <c r="A436" s="988" t="s">
        <v>1143</v>
      </c>
      <c r="B436" s="987" t="s">
        <v>1234</v>
      </c>
      <c r="C436" s="1818" t="s">
        <v>1349</v>
      </c>
      <c r="D436" s="814" t="s">
        <v>1363</v>
      </c>
    </row>
    <row r="437" spans="1:4" x14ac:dyDescent="0.25">
      <c r="A437" s="988" t="s">
        <v>1141</v>
      </c>
      <c r="B437" s="987" t="s">
        <v>1235</v>
      </c>
      <c r="C437" s="1818" t="s">
        <v>1349</v>
      </c>
      <c r="D437" s="814" t="s">
        <v>1363</v>
      </c>
    </row>
    <row r="438" spans="1:4" x14ac:dyDescent="0.25">
      <c r="A438" s="988" t="s">
        <v>1139</v>
      </c>
      <c r="B438" s="987" t="s">
        <v>1234</v>
      </c>
      <c r="C438" s="1818" t="s">
        <v>1349</v>
      </c>
      <c r="D438" s="814" t="s">
        <v>1363</v>
      </c>
    </row>
    <row r="439" spans="1:4" x14ac:dyDescent="0.25">
      <c r="A439" s="988" t="s">
        <v>1137</v>
      </c>
      <c r="B439" s="987" t="s">
        <v>1234</v>
      </c>
      <c r="C439" s="1818" t="s">
        <v>1349</v>
      </c>
      <c r="D439" s="814" t="s">
        <v>1363</v>
      </c>
    </row>
    <row r="440" spans="1:4" x14ac:dyDescent="0.25">
      <c r="A440" s="988" t="s">
        <v>1135</v>
      </c>
      <c r="B440" s="987" t="s">
        <v>1237</v>
      </c>
      <c r="C440" s="1818" t="s">
        <v>1349</v>
      </c>
      <c r="D440" s="814" t="s">
        <v>1363</v>
      </c>
    </row>
    <row r="441" spans="1:4" x14ac:dyDescent="0.25">
      <c r="A441" s="988" t="s">
        <v>1133</v>
      </c>
      <c r="B441" s="987" t="s">
        <v>1237</v>
      </c>
      <c r="C441" s="1818" t="s">
        <v>1349</v>
      </c>
      <c r="D441" s="814" t="s">
        <v>1363</v>
      </c>
    </row>
    <row r="442" spans="1:4" x14ac:dyDescent="0.25">
      <c r="A442" s="990" t="s">
        <v>1131</v>
      </c>
      <c r="B442" s="991" t="s">
        <v>1245</v>
      </c>
      <c r="C442" s="1818" t="s">
        <v>1349</v>
      </c>
      <c r="D442" s="814" t="s">
        <v>1363</v>
      </c>
    </row>
    <row r="443" spans="1:4" x14ac:dyDescent="0.25">
      <c r="A443" s="984" t="s">
        <v>1127</v>
      </c>
      <c r="B443" s="985" t="s">
        <v>1091</v>
      </c>
      <c r="C443" s="1818" t="s">
        <v>1349</v>
      </c>
      <c r="D443" s="814" t="s">
        <v>1363</v>
      </c>
    </row>
    <row r="444" spans="1:4" x14ac:dyDescent="0.25">
      <c r="A444" s="988" t="s">
        <v>1125</v>
      </c>
      <c r="B444" s="989" t="s">
        <v>1124</v>
      </c>
      <c r="C444" s="1818" t="s">
        <v>1349</v>
      </c>
      <c r="D444" s="814" t="s">
        <v>1363</v>
      </c>
    </row>
    <row r="445" spans="1:4" x14ac:dyDescent="0.25">
      <c r="A445" s="988" t="s">
        <v>1123</v>
      </c>
      <c r="B445" s="987" t="s">
        <v>1246</v>
      </c>
      <c r="C445" s="1818" t="s">
        <v>1349</v>
      </c>
      <c r="D445" s="814" t="s">
        <v>1363</v>
      </c>
    </row>
    <row r="446" spans="1:4" x14ac:dyDescent="0.25">
      <c r="A446" s="988" t="s">
        <v>1121</v>
      </c>
      <c r="B446" s="987" t="s">
        <v>1091</v>
      </c>
      <c r="C446" s="1818" t="s">
        <v>1349</v>
      </c>
      <c r="D446" s="814" t="s">
        <v>1363</v>
      </c>
    </row>
    <row r="447" spans="1:4" x14ac:dyDescent="0.25">
      <c r="A447" s="986" t="s">
        <v>1215</v>
      </c>
      <c r="B447" s="987" t="s">
        <v>1356</v>
      </c>
      <c r="C447" s="1818" t="s">
        <v>1349</v>
      </c>
      <c r="D447" s="814" t="s">
        <v>1363</v>
      </c>
    </row>
    <row r="448" spans="1:4" x14ac:dyDescent="0.25">
      <c r="A448" s="988" t="s">
        <v>1120</v>
      </c>
      <c r="B448" s="987" t="s">
        <v>1356</v>
      </c>
      <c r="C448" s="1818" t="s">
        <v>1349</v>
      </c>
      <c r="D448" s="814" t="s">
        <v>1363</v>
      </c>
    </row>
    <row r="449" spans="1:4" x14ac:dyDescent="0.25">
      <c r="A449" s="986" t="s">
        <v>1216</v>
      </c>
      <c r="B449" s="987" t="s">
        <v>1238</v>
      </c>
      <c r="C449" s="1818" t="s">
        <v>1349</v>
      </c>
      <c r="D449" s="814" t="s">
        <v>1363</v>
      </c>
    </row>
    <row r="450" spans="1:4" x14ac:dyDescent="0.25">
      <c r="A450" s="988">
        <v>7.5</v>
      </c>
      <c r="B450" s="987" t="s">
        <v>1091</v>
      </c>
      <c r="C450" s="1818" t="s">
        <v>1349</v>
      </c>
      <c r="D450" s="814" t="s">
        <v>1363</v>
      </c>
    </row>
    <row r="451" spans="1:4" x14ac:dyDescent="0.25">
      <c r="A451" s="988">
        <v>7.6</v>
      </c>
      <c r="B451" s="987" t="s">
        <v>1091</v>
      </c>
      <c r="C451" s="1818" t="s">
        <v>1349</v>
      </c>
      <c r="D451" s="814" t="s">
        <v>1363</v>
      </c>
    </row>
    <row r="452" spans="1:4" x14ac:dyDescent="0.25">
      <c r="A452" s="988">
        <v>7.7</v>
      </c>
      <c r="B452" s="987" t="s">
        <v>1091</v>
      </c>
      <c r="C452" s="1818" t="s">
        <v>1349</v>
      </c>
      <c r="D452" s="814" t="s">
        <v>1363</v>
      </c>
    </row>
    <row r="453" spans="1:4" x14ac:dyDescent="0.25">
      <c r="A453" s="988">
        <v>7.8</v>
      </c>
      <c r="B453" s="987" t="s">
        <v>1091</v>
      </c>
      <c r="C453" s="1818" t="s">
        <v>1349</v>
      </c>
      <c r="D453" s="814" t="s">
        <v>1363</v>
      </c>
    </row>
    <row r="454" spans="1:4" x14ac:dyDescent="0.25">
      <c r="A454" s="1000" t="s">
        <v>1115</v>
      </c>
      <c r="B454" s="987" t="s">
        <v>1356</v>
      </c>
      <c r="C454" s="1818" t="s">
        <v>1349</v>
      </c>
      <c r="D454" s="814" t="s">
        <v>1363</v>
      </c>
    </row>
    <row r="455" spans="1:4" x14ac:dyDescent="0.25">
      <c r="A455" s="988" t="s">
        <v>1114</v>
      </c>
      <c r="B455" s="987" t="s">
        <v>1091</v>
      </c>
      <c r="C455" s="1818" t="s">
        <v>1349</v>
      </c>
      <c r="D455" s="814" t="s">
        <v>1363</v>
      </c>
    </row>
    <row r="456" spans="1:4" x14ac:dyDescent="0.25">
      <c r="A456" s="988" t="s">
        <v>1112</v>
      </c>
      <c r="B456" s="987" t="s">
        <v>1091</v>
      </c>
      <c r="C456" s="1818" t="s">
        <v>1349</v>
      </c>
      <c r="D456" s="814" t="s">
        <v>1363</v>
      </c>
    </row>
    <row r="457" spans="1:4" x14ac:dyDescent="0.25">
      <c r="A457" s="988" t="s">
        <v>1110</v>
      </c>
      <c r="B457" s="987" t="s">
        <v>1091</v>
      </c>
      <c r="C457" s="1818" t="s">
        <v>1349</v>
      </c>
      <c r="D457" s="814" t="s">
        <v>1363</v>
      </c>
    </row>
    <row r="458" spans="1:4" x14ac:dyDescent="0.25">
      <c r="A458" s="988">
        <v>7.11</v>
      </c>
      <c r="B458" s="987" t="s">
        <v>1091</v>
      </c>
      <c r="C458" s="1818" t="s">
        <v>1349</v>
      </c>
      <c r="D458" s="814" t="s">
        <v>1363</v>
      </c>
    </row>
    <row r="459" spans="1:4" x14ac:dyDescent="0.25">
      <c r="A459" s="988">
        <v>7.12</v>
      </c>
      <c r="B459" s="987" t="s">
        <v>1091</v>
      </c>
      <c r="C459" s="1818" t="s">
        <v>1349</v>
      </c>
      <c r="D459" s="814" t="s">
        <v>1363</v>
      </c>
    </row>
    <row r="460" spans="1:4" x14ac:dyDescent="0.25">
      <c r="A460" s="988">
        <v>7.13</v>
      </c>
      <c r="B460" s="987" t="s">
        <v>1359</v>
      </c>
      <c r="C460" s="1818" t="s">
        <v>1349</v>
      </c>
      <c r="D460" s="814" t="s">
        <v>1363</v>
      </c>
    </row>
    <row r="461" spans="1:4" x14ac:dyDescent="0.25">
      <c r="A461" s="988">
        <v>7.14</v>
      </c>
      <c r="B461" s="987" t="s">
        <v>1091</v>
      </c>
      <c r="C461" s="1818" t="s">
        <v>1349</v>
      </c>
      <c r="D461" s="814" t="s">
        <v>1363</v>
      </c>
    </row>
    <row r="462" spans="1:4" x14ac:dyDescent="0.25">
      <c r="A462" s="988">
        <v>7.15</v>
      </c>
      <c r="B462" s="987" t="s">
        <v>1091</v>
      </c>
      <c r="C462" s="1818" t="s">
        <v>1349</v>
      </c>
      <c r="D462" s="814" t="s">
        <v>1363</v>
      </c>
    </row>
    <row r="463" spans="1:4" x14ac:dyDescent="0.25">
      <c r="A463" s="988">
        <v>7.16</v>
      </c>
      <c r="B463" s="987" t="s">
        <v>1091</v>
      </c>
      <c r="C463" s="1818" t="s">
        <v>1349</v>
      </c>
      <c r="D463" s="814" t="s">
        <v>1363</v>
      </c>
    </row>
    <row r="464" spans="1:4" x14ac:dyDescent="0.25">
      <c r="A464" s="990">
        <v>7.17</v>
      </c>
      <c r="B464" s="991" t="s">
        <v>1247</v>
      </c>
      <c r="C464" s="1818" t="s">
        <v>1349</v>
      </c>
      <c r="D464" s="814" t="s">
        <v>1363</v>
      </c>
    </row>
    <row r="465" spans="1:4" x14ac:dyDescent="0.25">
      <c r="A465" s="984" t="s">
        <v>1097</v>
      </c>
      <c r="B465" s="985" t="s">
        <v>1091</v>
      </c>
      <c r="C465" s="1818" t="s">
        <v>1349</v>
      </c>
      <c r="D465" s="814" t="s">
        <v>1363</v>
      </c>
    </row>
    <row r="466" spans="1:4" x14ac:dyDescent="0.25">
      <c r="A466" s="988" t="s">
        <v>1095</v>
      </c>
      <c r="B466" s="987" t="s">
        <v>1091</v>
      </c>
      <c r="C466" s="1818" t="s">
        <v>1349</v>
      </c>
      <c r="D466" s="814" t="s">
        <v>1363</v>
      </c>
    </row>
    <row r="467" spans="1:4" x14ac:dyDescent="0.25">
      <c r="A467" s="988" t="s">
        <v>1093</v>
      </c>
      <c r="B467" s="987" t="s">
        <v>1091</v>
      </c>
      <c r="C467" s="1818" t="s">
        <v>1349</v>
      </c>
      <c r="D467" s="814" t="s">
        <v>1363</v>
      </c>
    </row>
    <row r="468" spans="1:4" x14ac:dyDescent="0.25">
      <c r="A468" s="988" t="s">
        <v>1090</v>
      </c>
      <c r="B468" s="987" t="s">
        <v>1247</v>
      </c>
      <c r="C468" s="1818" t="s">
        <v>1349</v>
      </c>
      <c r="D468" s="814" t="s">
        <v>1363</v>
      </c>
    </row>
    <row r="469" spans="1:4" x14ac:dyDescent="0.25">
      <c r="A469" s="990" t="s">
        <v>1088</v>
      </c>
      <c r="B469" s="991" t="s">
        <v>1248</v>
      </c>
      <c r="C469" s="1818" t="s">
        <v>1349</v>
      </c>
      <c r="D469" s="814" t="s">
        <v>1363</v>
      </c>
    </row>
  </sheetData>
  <autoFilter ref="A1:D469"/>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0:N144"/>
  <sheetViews>
    <sheetView showGridLines="0" zoomScaleNormal="100" zoomScalePageLayoutView="70" workbookViewId="0">
      <selection activeCell="H69" sqref="H69"/>
    </sheetView>
  </sheetViews>
  <sheetFormatPr defaultColWidth="9.140625" defaultRowHeight="15" x14ac:dyDescent="0.25"/>
  <cols>
    <col min="1" max="2" width="1.7109375" style="943" customWidth="1"/>
    <col min="3" max="3" width="14.28515625" style="943" customWidth="1"/>
    <col min="4" max="4" width="16.28515625" style="943" customWidth="1"/>
    <col min="5" max="5" width="4" style="943" customWidth="1"/>
    <col min="6" max="6" width="43.7109375" style="943" customWidth="1"/>
    <col min="7" max="7" width="32.7109375" style="943" bestFit="1" customWidth="1"/>
    <col min="8" max="8" width="8.42578125" style="943" bestFit="1" customWidth="1"/>
    <col min="9" max="9" width="3.28515625" style="943" hidden="1" customWidth="1"/>
    <col min="10" max="11" width="1.7109375" style="943" customWidth="1"/>
    <col min="12" max="16384" width="9.140625" style="943"/>
  </cols>
  <sheetData>
    <row r="10" spans="2:14" ht="6.75" customHeight="1" x14ac:dyDescent="0.25"/>
    <row r="11" spans="2:14" ht="6.75" customHeight="1" thickBot="1" x14ac:dyDescent="0.3"/>
    <row r="12" spans="2:14" s="937" customFormat="1" ht="7.5" customHeight="1" x14ac:dyDescent="0.25">
      <c r="B12" s="933"/>
      <c r="C12" s="934"/>
      <c r="D12" s="934"/>
      <c r="E12" s="934"/>
      <c r="F12" s="934"/>
      <c r="G12" s="934"/>
      <c r="H12" s="934"/>
      <c r="I12" s="934"/>
      <c r="J12" s="935"/>
    </row>
    <row r="13" spans="2:14" s="937" customFormat="1" ht="18.75" x14ac:dyDescent="0.3">
      <c r="B13" s="936"/>
      <c r="C13" s="2195" t="s">
        <v>1398</v>
      </c>
      <c r="D13" s="2195"/>
      <c r="E13" s="2195"/>
      <c r="F13" s="2195"/>
      <c r="G13" s="2195"/>
      <c r="H13" s="2195"/>
      <c r="J13" s="938"/>
    </row>
    <row r="14" spans="2:14" s="937" customFormat="1" ht="15.75" thickBot="1" x14ac:dyDescent="0.3">
      <c r="B14" s="936"/>
      <c r="J14" s="938"/>
    </row>
    <row r="15" spans="2:14" s="937" customFormat="1" ht="15" customHeight="1" thickBot="1" x14ac:dyDescent="0.3">
      <c r="B15" s="936"/>
      <c r="C15" s="937" t="s">
        <v>1</v>
      </c>
      <c r="D15" s="2149" t="str">
        <f>IF('1A'!G5="","Enter Project Name on Form 1A",'1A'!G5)</f>
        <v>University District Apartments</v>
      </c>
      <c r="E15" s="2149"/>
      <c r="F15" s="2149"/>
      <c r="G15" s="939" t="s">
        <v>1259</v>
      </c>
      <c r="H15" s="940">
        <f>H143</f>
        <v>64</v>
      </c>
      <c r="I15" s="1123"/>
      <c r="J15" s="1198"/>
      <c r="K15" s="1123"/>
      <c r="L15" s="1123"/>
      <c r="M15" s="1123"/>
      <c r="N15" s="1123"/>
    </row>
    <row r="16" spans="2:14" s="937" customFormat="1" ht="7.5" customHeight="1" x14ac:dyDescent="0.25">
      <c r="B16" s="936"/>
      <c r="C16" s="941"/>
      <c r="D16" s="941"/>
      <c r="F16" s="941"/>
      <c r="G16" s="941"/>
      <c r="J16" s="938"/>
    </row>
    <row r="17" spans="2:14" s="937" customFormat="1" ht="15" customHeight="1" x14ac:dyDescent="0.25">
      <c r="B17" s="936"/>
      <c r="C17" s="1827" t="s">
        <v>1397</v>
      </c>
      <c r="D17" s="2149" t="str">
        <f>IF('1A'!G44="","Enter Site Name on Form 1A",'1A'!G44)</f>
        <v>Project B - 9%</v>
      </c>
      <c r="E17" s="2149"/>
      <c r="F17" s="2149"/>
      <c r="G17" s="1856"/>
      <c r="I17" s="1123"/>
      <c r="J17" s="1198"/>
      <c r="K17" s="1123"/>
      <c r="L17" s="1123"/>
      <c r="M17" s="1123"/>
      <c r="N17" s="1123"/>
    </row>
    <row r="18" spans="2:14" s="937" customFormat="1" ht="7.5" customHeight="1" x14ac:dyDescent="0.25">
      <c r="B18" s="936"/>
      <c r="C18" s="941"/>
      <c r="D18" s="941"/>
      <c r="F18" s="941"/>
      <c r="G18" s="941"/>
      <c r="J18" s="938"/>
    </row>
    <row r="19" spans="2:14" x14ac:dyDescent="0.25">
      <c r="B19" s="936"/>
      <c r="C19" s="942" t="s">
        <v>1222</v>
      </c>
      <c r="D19" s="1742" t="s">
        <v>1349</v>
      </c>
      <c r="E19" s="937"/>
      <c r="F19" s="942"/>
      <c r="I19" s="942"/>
      <c r="J19" s="944"/>
    </row>
    <row r="20" spans="2:14" ht="3.75" customHeight="1" x14ac:dyDescent="0.25">
      <c r="B20" s="936"/>
      <c r="C20" s="942"/>
      <c r="D20" s="945"/>
      <c r="E20" s="937"/>
      <c r="F20" s="942"/>
      <c r="G20" s="942"/>
      <c r="H20" s="942"/>
      <c r="I20" s="942"/>
      <c r="J20" s="944"/>
    </row>
    <row r="21" spans="2:14" x14ac:dyDescent="0.25">
      <c r="B21" s="936"/>
      <c r="C21" s="942" t="s">
        <v>1223</v>
      </c>
      <c r="D21" s="1808" t="s">
        <v>29</v>
      </c>
      <c r="E21" s="1809"/>
      <c r="G21" s="946"/>
      <c r="H21" s="947"/>
      <c r="I21" s="942"/>
      <c r="J21" s="944"/>
    </row>
    <row r="22" spans="2:14" ht="3.75" customHeight="1" x14ac:dyDescent="0.25">
      <c r="B22" s="936"/>
      <c r="C22" s="942"/>
      <c r="D22" s="942"/>
      <c r="E22" s="948"/>
      <c r="F22" s="942"/>
      <c r="G22" s="946"/>
      <c r="H22" s="947"/>
      <c r="I22" s="942"/>
      <c r="J22" s="944"/>
    </row>
    <row r="23" spans="2:14" x14ac:dyDescent="0.25">
      <c r="B23" s="936"/>
      <c r="C23" s="949" t="s">
        <v>1211</v>
      </c>
      <c r="D23" s="949"/>
      <c r="E23" s="949"/>
      <c r="F23" s="949"/>
      <c r="I23" s="937"/>
      <c r="J23" s="938"/>
    </row>
    <row r="24" spans="2:14" x14ac:dyDescent="0.25">
      <c r="B24" s="936"/>
      <c r="C24" s="1606" t="s">
        <v>1230</v>
      </c>
      <c r="D24" s="1607" t="s">
        <v>1231</v>
      </c>
      <c r="E24" s="1608"/>
      <c r="F24" s="1608"/>
      <c r="G24" s="1609" t="s">
        <v>1099</v>
      </c>
      <c r="H24" s="1610" t="s">
        <v>1098</v>
      </c>
      <c r="I24" s="937"/>
      <c r="J24" s="938"/>
      <c r="N24" s="1208"/>
    </row>
    <row r="25" spans="2:14" x14ac:dyDescent="0.25">
      <c r="B25" s="936"/>
      <c r="C25" s="955">
        <v>1.1000000000000001</v>
      </c>
      <c r="D25" s="2150" t="s">
        <v>1210</v>
      </c>
      <c r="E25" s="2151"/>
      <c r="F25" s="2152"/>
      <c r="G25" s="1810" t="str">
        <f t="array" ref="G25">IFERROR(INDEX('ESDS-Lookup-Table'!B1:B469,MATCH(1,('ESDS-Lookup-Table'!A1:A469=C25)*('ESDS-Lookup-Table'!C1:C469=D19)*('ESDS-Lookup-Table'!D1:D469=D21),0)),"Select Region and Activity")</f>
        <v>Mandatory</v>
      </c>
      <c r="H25" s="791" t="s">
        <v>1441</v>
      </c>
      <c r="I25" s="937">
        <f>N(H25)</f>
        <v>0</v>
      </c>
      <c r="J25" s="938"/>
    </row>
    <row r="26" spans="2:14" x14ac:dyDescent="0.25">
      <c r="B26" s="936"/>
      <c r="C26" s="957">
        <v>1.2</v>
      </c>
      <c r="D26" s="2153" t="s">
        <v>1209</v>
      </c>
      <c r="E26" s="2154"/>
      <c r="F26" s="2155"/>
      <c r="G26" s="1811" t="str">
        <f t="array" ref="G26">IFERROR(INDEX('ESDS-Lookup-Table'!B1:B469,MATCH(1,('ESDS-Lookup-Table'!A1:A469=C26)*('ESDS-Lookup-Table'!C1:C469=D19)*('ESDS-Lookup-Table'!D1:D469=D21),0)),"Select Region and Activity")</f>
        <v>0 to 3</v>
      </c>
      <c r="H26" s="791" t="s">
        <v>1441</v>
      </c>
      <c r="I26" s="937">
        <f>N(H26)</f>
        <v>0</v>
      </c>
      <c r="J26" s="938"/>
    </row>
    <row r="27" spans="2:14" x14ac:dyDescent="0.25">
      <c r="B27" s="936"/>
      <c r="C27" s="959" t="s">
        <v>34</v>
      </c>
      <c r="D27" s="960"/>
      <c r="E27" s="961"/>
      <c r="F27" s="961"/>
      <c r="G27" s="962" t="s">
        <v>1208</v>
      </c>
      <c r="H27" s="963">
        <f>SUM(I25:I26)</f>
        <v>0</v>
      </c>
      <c r="I27" s="937"/>
      <c r="J27" s="938"/>
    </row>
    <row r="28" spans="2:14" s="937" customFormat="1" ht="7.5" customHeight="1" x14ac:dyDescent="0.25">
      <c r="B28" s="936"/>
      <c r="C28" s="964"/>
      <c r="D28" s="964"/>
      <c r="E28" s="964"/>
      <c r="F28" s="964"/>
      <c r="G28" s="965"/>
      <c r="H28" s="966"/>
      <c r="J28" s="938"/>
      <c r="M28" s="943"/>
    </row>
    <row r="29" spans="2:14" s="937" customFormat="1" x14ac:dyDescent="0.25">
      <c r="B29" s="936"/>
      <c r="C29" s="1464" t="s">
        <v>1207</v>
      </c>
      <c r="D29" s="1464"/>
      <c r="E29" s="1464"/>
      <c r="F29" s="1464"/>
      <c r="G29" s="965"/>
      <c r="J29" s="938"/>
      <c r="M29" s="943"/>
    </row>
    <row r="30" spans="2:14" x14ac:dyDescent="0.25">
      <c r="B30" s="936"/>
      <c r="C30" s="1606" t="s">
        <v>1230</v>
      </c>
      <c r="D30" s="1607" t="s">
        <v>1231</v>
      </c>
      <c r="E30" s="1608"/>
      <c r="F30" s="1608"/>
      <c r="G30" s="1609" t="s">
        <v>1099</v>
      </c>
      <c r="H30" s="1610" t="s">
        <v>1098</v>
      </c>
      <c r="I30" s="937"/>
      <c r="J30" s="938"/>
    </row>
    <row r="31" spans="2:14" x14ac:dyDescent="0.25">
      <c r="B31" s="936"/>
      <c r="C31" s="967">
        <v>2.1</v>
      </c>
      <c r="D31" s="2156" t="s">
        <v>1206</v>
      </c>
      <c r="E31" s="2157"/>
      <c r="F31" s="2158"/>
      <c r="G31" s="821" t="str">
        <f t="array" ref="G31">IFERROR(INDEX('ESDS-Lookup-Table'!$B$1:$B$469,MATCH(1,('ESDS-Lookup-Table'!$A$1:$A$469=C31)*('ESDS-Lookup-Table'!$C$1:$C$469=$D$19)*('ESDS-Lookup-Table'!$D$1:$D$469=$D$21),0)),"Select Region and Activity")</f>
        <v>Mandatory</v>
      </c>
      <c r="H31" s="791" t="s">
        <v>1441</v>
      </c>
      <c r="I31" s="937">
        <f t="shared" ref="I31:I41" si="0">N(H31)</f>
        <v>0</v>
      </c>
      <c r="J31" s="938"/>
    </row>
    <row r="32" spans="2:14" x14ac:dyDescent="0.25">
      <c r="B32" s="936"/>
      <c r="C32" s="968">
        <v>2.2000000000000002</v>
      </c>
      <c r="D32" s="2159" t="s">
        <v>1205</v>
      </c>
      <c r="E32" s="2160"/>
      <c r="F32" s="2161"/>
      <c r="G32" s="1812" t="str">
        <f t="array" ref="G32">IFERROR(INDEX('ESDS-Lookup-Table'!$B$1:$B$469,MATCH(1,('ESDS-Lookup-Table'!$A$1:$A$469=C32)*('ESDS-Lookup-Table'!$C$1:$C$469=$D$19)*('ESDS-Lookup-Table'!$D$1:$D$469=$D$21),0)),"Select Region and Activity")</f>
        <v>Mandatory</v>
      </c>
      <c r="H32" s="791" t="s">
        <v>1441</v>
      </c>
      <c r="I32" s="937">
        <f t="shared" si="0"/>
        <v>0</v>
      </c>
      <c r="J32" s="970"/>
    </row>
    <row r="33" spans="2:13" x14ac:dyDescent="0.25">
      <c r="B33" s="936"/>
      <c r="C33" s="968">
        <v>2.2999999999999998</v>
      </c>
      <c r="D33" s="2162" t="s">
        <v>1204</v>
      </c>
      <c r="E33" s="2160"/>
      <c r="F33" s="2161"/>
      <c r="G33" s="1812" t="str">
        <f t="array" ref="G33">IFERROR(INDEX('ESDS-Lookup-Table'!$B$1:$B$469,MATCH(1,('ESDS-Lookup-Table'!$A$1:$A$469=C33)*('ESDS-Lookup-Table'!$C$1:$C$469=$D$19)*('ESDS-Lookup-Table'!$D$1:$D$469=$D$21),0)),"Select Region and Activity")</f>
        <v>Mandatory</v>
      </c>
      <c r="H33" s="791" t="s">
        <v>1441</v>
      </c>
      <c r="I33" s="937">
        <f t="shared" si="0"/>
        <v>0</v>
      </c>
      <c r="J33" s="938"/>
    </row>
    <row r="34" spans="2:13" x14ac:dyDescent="0.25">
      <c r="B34" s="936"/>
      <c r="C34" s="968">
        <v>2.4</v>
      </c>
      <c r="D34" s="2159" t="s">
        <v>1203</v>
      </c>
      <c r="E34" s="2160"/>
      <c r="F34" s="2161"/>
      <c r="G34" s="1812" t="str">
        <f t="array" ref="G34">IFERROR(INDEX('ESDS-Lookup-Table'!$B$1:$B$469,MATCH(1,('ESDS-Lookup-Table'!$A$1:$A$469=C34)*('ESDS-Lookup-Table'!$C$1:$C$469=$D$19)*('ESDS-Lookup-Table'!$D$1:$D$469=$D$21),0)),"Select Region and Activity")</f>
        <v>0 or 5</v>
      </c>
      <c r="H34" s="791">
        <v>5</v>
      </c>
      <c r="I34" s="937">
        <f t="shared" si="0"/>
        <v>5</v>
      </c>
      <c r="J34" s="938"/>
    </row>
    <row r="35" spans="2:13" ht="15" customHeight="1" x14ac:dyDescent="0.25">
      <c r="B35" s="936"/>
      <c r="C35" s="968">
        <v>2.5</v>
      </c>
      <c r="D35" s="2159" t="s">
        <v>1202</v>
      </c>
      <c r="E35" s="2160"/>
      <c r="F35" s="2161"/>
      <c r="G35" s="1812" t="str">
        <f t="array" ref="G35">IFERROR(INDEX('ESDS-Lookup-Table'!$B$1:$B$469,MATCH(1,('ESDS-Lookup-Table'!$A$1:$A$469=C35)*('ESDS-Lookup-Table'!$C$1:$C$469=$D$19)*('ESDS-Lookup-Table'!$D$1:$D$469=$D$21),0)),"Select Region and Activity")</f>
        <v>Mandatory and optional 5</v>
      </c>
      <c r="H35" s="791">
        <v>5</v>
      </c>
      <c r="I35" s="937">
        <f t="shared" si="0"/>
        <v>5</v>
      </c>
      <c r="J35" s="938"/>
    </row>
    <row r="36" spans="2:13" x14ac:dyDescent="0.25">
      <c r="B36" s="936"/>
      <c r="C36" s="968">
        <v>2.6</v>
      </c>
      <c r="D36" s="2159" t="s">
        <v>1201</v>
      </c>
      <c r="E36" s="2160"/>
      <c r="F36" s="2161"/>
      <c r="G36" s="1812" t="str">
        <f t="array" ref="G36">IFERROR(INDEX('ESDS-Lookup-Table'!$B$1:$B$469,MATCH(1,('ESDS-Lookup-Table'!$A$1:$A$469=C36)*('ESDS-Lookup-Table'!$C$1:$C$469=$D$19)*('ESDS-Lookup-Table'!$D$1:$D$469=$D$21),0)),"Select Region and Activity")</f>
        <v>0 or 3</v>
      </c>
      <c r="H36" s="791">
        <v>3</v>
      </c>
      <c r="I36" s="937">
        <f t="shared" si="0"/>
        <v>3</v>
      </c>
      <c r="J36" s="938"/>
    </row>
    <row r="37" spans="2:13" x14ac:dyDescent="0.25">
      <c r="B37" s="936"/>
      <c r="C37" s="971" t="s">
        <v>1219</v>
      </c>
      <c r="D37" s="2162" t="s">
        <v>1218</v>
      </c>
      <c r="E37" s="2160"/>
      <c r="F37" s="2161"/>
      <c r="G37" s="1812" t="str">
        <f t="array" ref="G37">IFERROR(INDEX('ESDS-Lookup-Table'!$B$1:$B$469,MATCH(1,('ESDS-Lookup-Table'!$A$1:$A$469=C37)*('ESDS-Lookup-Table'!$C$1:$C$469=$D$19)*('ESDS-Lookup-Table'!$D$1:$D$469=$D$21),0)),"Select Region and Activity")</f>
        <v>Mandatory</v>
      </c>
      <c r="H37" s="791" t="s">
        <v>1441</v>
      </c>
      <c r="I37" s="937">
        <f t="shared" si="0"/>
        <v>0</v>
      </c>
      <c r="J37" s="938"/>
    </row>
    <row r="38" spans="2:13" s="1813" customFormat="1" x14ac:dyDescent="0.25">
      <c r="B38" s="972"/>
      <c r="C38" s="968" t="s">
        <v>1200</v>
      </c>
      <c r="D38" s="2145" t="s">
        <v>1199</v>
      </c>
      <c r="E38" s="2146"/>
      <c r="F38" s="2147"/>
      <c r="G38" s="1812" t="str">
        <f t="array" ref="G38">IFERROR(INDEX('ESDS-Lookup-Table'!$B$1:$B$469,MATCH(1,('ESDS-Lookup-Table'!$A$1:$A$469=C38)*('ESDS-Lookup-Table'!$C$1:$C$469=$D$19)*('ESDS-Lookup-Table'!$D$1:$D$469=$D$21),0)),"Select Region and Activity")</f>
        <v>n/a (3 or 5 if Tribal)</v>
      </c>
      <c r="H38" s="791" t="s">
        <v>1356</v>
      </c>
      <c r="I38" s="937">
        <f t="shared" si="0"/>
        <v>0</v>
      </c>
      <c r="J38" s="973"/>
    </row>
    <row r="39" spans="2:13" x14ac:dyDescent="0.25">
      <c r="B39" s="936"/>
      <c r="C39" s="968">
        <v>2.8</v>
      </c>
      <c r="D39" s="2159" t="s">
        <v>1198</v>
      </c>
      <c r="E39" s="2160"/>
      <c r="F39" s="2161"/>
      <c r="G39" s="1812" t="str">
        <f t="array" ref="G39">IFERROR(INDEX('ESDS-Lookup-Table'!$B$1:$B$469,MATCH(1,('ESDS-Lookup-Table'!$A$1:$A$469=C39)*('ESDS-Lookup-Table'!$C$1:$C$469=$D$19)*('ESDS-Lookup-Table'!$D$1:$D$469=$D$21),0)),"Select Region and Activity")</f>
        <v>0, 2, 4, 6 or 7</v>
      </c>
      <c r="H39" s="791">
        <v>0</v>
      </c>
      <c r="I39" s="937">
        <f t="shared" si="0"/>
        <v>0</v>
      </c>
      <c r="J39" s="938"/>
    </row>
    <row r="40" spans="2:13" x14ac:dyDescent="0.25">
      <c r="B40" s="936"/>
      <c r="C40" s="968">
        <v>2.9</v>
      </c>
      <c r="D40" s="2159" t="s">
        <v>1197</v>
      </c>
      <c r="E40" s="2160"/>
      <c r="F40" s="2161"/>
      <c r="G40" s="1812" t="str">
        <f t="array" ref="G40">IFERROR(INDEX('ESDS-Lookup-Table'!$B$1:$B$469,MATCH(1,('ESDS-Lookup-Table'!$A$1:$A$469=C40)*('ESDS-Lookup-Table'!$C$1:$C$469=$D$19)*('ESDS-Lookup-Table'!$D$1:$D$469=$D$21),0)),"Select Region and Activity")</f>
        <v>0 or 10</v>
      </c>
      <c r="H40" s="791">
        <v>0</v>
      </c>
      <c r="I40" s="937">
        <f t="shared" si="0"/>
        <v>0</v>
      </c>
      <c r="J40" s="938"/>
    </row>
    <row r="41" spans="2:13" x14ac:dyDescent="0.25">
      <c r="B41" s="936"/>
      <c r="C41" s="974" t="s">
        <v>1196</v>
      </c>
      <c r="D41" s="2164" t="s">
        <v>1195</v>
      </c>
      <c r="E41" s="2165"/>
      <c r="F41" s="2166"/>
      <c r="G41" s="821" t="str">
        <f t="array" ref="G41">IFERROR(INDEX('ESDS-Lookup-Table'!$B$1:$B$469,MATCH(1,('ESDS-Lookup-Table'!$A$1:$A$469=C41)*('ESDS-Lookup-Table'!$C$1:$C$469=$D$19)*('ESDS-Lookup-Table'!$D$1:$D$469=$D$21),0)),"Select Region and Activity")</f>
        <v>0 or 3</v>
      </c>
      <c r="H41" s="791">
        <v>3</v>
      </c>
      <c r="I41" s="937">
        <f t="shared" si="0"/>
        <v>3</v>
      </c>
      <c r="J41" s="938"/>
    </row>
    <row r="42" spans="2:13" x14ac:dyDescent="0.25">
      <c r="B42" s="936"/>
      <c r="C42" s="959" t="s">
        <v>34</v>
      </c>
      <c r="D42" s="960"/>
      <c r="E42" s="961"/>
      <c r="F42" s="961"/>
      <c r="G42" s="962" t="s">
        <v>1194</v>
      </c>
      <c r="H42" s="963">
        <f>SUM(I31:I41)</f>
        <v>16</v>
      </c>
      <c r="I42" s="937"/>
      <c r="J42" s="938"/>
    </row>
    <row r="43" spans="2:13" s="937" customFormat="1" ht="7.5" customHeight="1" x14ac:dyDescent="0.25">
      <c r="B43" s="936"/>
      <c r="C43" s="964"/>
      <c r="D43" s="966"/>
      <c r="E43" s="964"/>
      <c r="F43" s="964"/>
      <c r="G43" s="965"/>
      <c r="H43" s="966"/>
      <c r="J43" s="938"/>
      <c r="M43" s="943"/>
    </row>
    <row r="44" spans="2:13" s="937" customFormat="1" x14ac:dyDescent="0.25">
      <c r="B44" s="936"/>
      <c r="C44" s="1464" t="s">
        <v>1193</v>
      </c>
      <c r="E44" s="1464"/>
      <c r="F44" s="1464"/>
      <c r="G44" s="965"/>
      <c r="J44" s="938"/>
      <c r="M44" s="943"/>
    </row>
    <row r="45" spans="2:13" x14ac:dyDescent="0.25">
      <c r="B45" s="936"/>
      <c r="C45" s="1606" t="s">
        <v>1230</v>
      </c>
      <c r="D45" s="1607" t="s">
        <v>1231</v>
      </c>
      <c r="E45" s="1608"/>
      <c r="F45" s="1608"/>
      <c r="G45" s="1609" t="s">
        <v>1099</v>
      </c>
      <c r="H45" s="1610" t="s">
        <v>1098</v>
      </c>
      <c r="I45" s="937"/>
      <c r="J45" s="938"/>
    </row>
    <row r="46" spans="2:13" x14ac:dyDescent="0.25">
      <c r="B46" s="936"/>
      <c r="C46" s="967" t="s">
        <v>1192</v>
      </c>
      <c r="D46" s="2156" t="s">
        <v>1191</v>
      </c>
      <c r="E46" s="2157"/>
      <c r="F46" s="2158"/>
      <c r="G46" s="821" t="str">
        <f t="array" ref="G46">IFERROR(INDEX('ESDS-Lookup-Table'!$B$1:$B$469,MATCH(1,('ESDS-Lookup-Table'!$A$1:$A$469=C46)*('ESDS-Lookup-Table'!$C$1:$C$469=$D$19)*('ESDS-Lookup-Table'!$D$1:$D$469=$D$21),0)),"Select Region and Activity")</f>
        <v>Mandatory</v>
      </c>
      <c r="H46" s="791" t="s">
        <v>1441</v>
      </c>
      <c r="I46" s="937">
        <f t="shared" ref="I46:I53" si="1">N(H46)</f>
        <v>0</v>
      </c>
      <c r="J46" s="938"/>
    </row>
    <row r="47" spans="2:13" x14ac:dyDescent="0.25">
      <c r="B47" s="936"/>
      <c r="C47" s="968" t="s">
        <v>1190</v>
      </c>
      <c r="D47" s="2159" t="s">
        <v>1189</v>
      </c>
      <c r="E47" s="2160"/>
      <c r="F47" s="2161"/>
      <c r="G47" s="1812" t="str">
        <f t="array" ref="G47">IFERROR(INDEX('ESDS-Lookup-Table'!$B$1:$B$469,MATCH(1,('ESDS-Lookup-Table'!$A$1:$A$469=C47)*('ESDS-Lookup-Table'!$C$1:$C$469=$D$19)*('ESDS-Lookup-Table'!$D$1:$D$469=$D$21),0)),"Select Region and Activity")</f>
        <v>Mandatory</v>
      </c>
      <c r="H47" s="791" t="s">
        <v>1441</v>
      </c>
      <c r="I47" s="937">
        <f t="shared" si="1"/>
        <v>0</v>
      </c>
      <c r="J47" s="938"/>
    </row>
    <row r="48" spans="2:13" ht="15" customHeight="1" x14ac:dyDescent="0.25">
      <c r="B48" s="936"/>
      <c r="C48" s="968" t="s">
        <v>1188</v>
      </c>
      <c r="D48" s="2159" t="s">
        <v>438</v>
      </c>
      <c r="E48" s="2160"/>
      <c r="F48" s="2161"/>
      <c r="G48" s="1812" t="str">
        <f t="array" ref="G48">IFERROR(INDEX('ESDS-Lookup-Table'!$B$1:$B$469,MATCH(1,('ESDS-Lookup-Table'!$A$1:$A$469=C48)*('ESDS-Lookup-Table'!$C$1:$C$469=$D$19)*('ESDS-Lookup-Table'!$D$1:$D$469=$D$21),0)),"Select Region and Activity")</f>
        <v>Mandatory if providing Landscaping</v>
      </c>
      <c r="H48" s="791" t="s">
        <v>1441</v>
      </c>
      <c r="I48" s="937">
        <f t="shared" si="1"/>
        <v>0</v>
      </c>
      <c r="J48" s="938"/>
    </row>
    <row r="49" spans="1:11" x14ac:dyDescent="0.25">
      <c r="B49" s="936"/>
      <c r="C49" s="968" t="s">
        <v>1186</v>
      </c>
      <c r="D49" s="2159" t="s">
        <v>438</v>
      </c>
      <c r="E49" s="2160"/>
      <c r="F49" s="2161"/>
      <c r="G49" s="1812" t="str">
        <f t="array" ref="G49">IFERROR(INDEX('ESDS-Lookup-Table'!$B$1:$B$469,MATCH(1,('ESDS-Lookup-Table'!$A$1:$A$469=C49)*('ESDS-Lookup-Table'!$C$1:$C$469=$D$19)*('ESDS-Lookup-Table'!$D$1:$D$469=$D$21),0)),"Select Region and Activity")</f>
        <v>0 or 5</v>
      </c>
      <c r="H49" s="791">
        <v>5</v>
      </c>
      <c r="I49" s="937">
        <f t="shared" si="1"/>
        <v>5</v>
      </c>
      <c r="J49" s="938"/>
    </row>
    <row r="50" spans="1:11" x14ac:dyDescent="0.25">
      <c r="B50" s="936"/>
      <c r="C50" s="968" t="s">
        <v>1185</v>
      </c>
      <c r="D50" s="2159" t="s">
        <v>1184</v>
      </c>
      <c r="E50" s="2160"/>
      <c r="F50" s="2161"/>
      <c r="G50" s="1812" t="str">
        <f t="array" ref="G50">IFERROR(INDEX('ESDS-Lookup-Table'!$B$1:$B$469,MATCH(1,('ESDS-Lookup-Table'!$A$1:$A$469=C50)*('ESDS-Lookup-Table'!$C$1:$C$469=$D$19)*('ESDS-Lookup-Table'!$D$1:$D$469=$D$21),0)),"Select Region and Activity")</f>
        <v>0, 1 to 5</v>
      </c>
      <c r="H50" s="791">
        <v>4</v>
      </c>
      <c r="I50" s="937">
        <f t="shared" si="1"/>
        <v>4</v>
      </c>
      <c r="J50" s="938"/>
    </row>
    <row r="51" spans="1:11" ht="15" customHeight="1" x14ac:dyDescent="0.25">
      <c r="B51" s="936"/>
      <c r="C51" s="968" t="s">
        <v>1183</v>
      </c>
      <c r="D51" s="2159" t="s">
        <v>1182</v>
      </c>
      <c r="E51" s="2160"/>
      <c r="F51" s="2161"/>
      <c r="G51" s="1812" t="str">
        <f t="array" ref="G51">IFERROR(INDEX('ESDS-Lookup-Table'!$B$1:$B$469,MATCH(1,('ESDS-Lookup-Table'!$A$1:$A$469=C51)*('ESDS-Lookup-Table'!$C$1:$C$469=$D$19)*('ESDS-Lookup-Table'!$D$1:$D$469=$D$21),0)),"Select Region and Activity")</f>
        <v>Mandatory if irrigation is utilized</v>
      </c>
      <c r="H51" s="791" t="s">
        <v>1441</v>
      </c>
      <c r="I51" s="937">
        <f t="shared" si="1"/>
        <v>0</v>
      </c>
      <c r="J51" s="938"/>
    </row>
    <row r="52" spans="1:11" x14ac:dyDescent="0.25">
      <c r="B52" s="936"/>
      <c r="C52" s="968" t="s">
        <v>1180</v>
      </c>
      <c r="D52" s="2159" t="s">
        <v>1179</v>
      </c>
      <c r="E52" s="2160"/>
      <c r="F52" s="2161"/>
      <c r="G52" s="1812" t="str">
        <f t="array" ref="G52">IFERROR(INDEX('ESDS-Lookup-Table'!$B$1:$B$469,MATCH(1,('ESDS-Lookup-Table'!$A$1:$A$469=C52)*('ESDS-Lookup-Table'!$C$1:$C$469=$D$19)*('ESDS-Lookup-Table'!$D$1:$D$469=$D$21),0)),"Select Region and Activity")</f>
        <v>0, 1, 2, 4 or 6</v>
      </c>
      <c r="H52" s="791">
        <v>0</v>
      </c>
      <c r="I52" s="937">
        <f t="shared" si="1"/>
        <v>0</v>
      </c>
      <c r="J52" s="938"/>
    </row>
    <row r="53" spans="1:11" x14ac:dyDescent="0.25">
      <c r="B53" s="936"/>
      <c r="C53" s="968" t="s">
        <v>1178</v>
      </c>
      <c r="D53" s="2164" t="s">
        <v>1177</v>
      </c>
      <c r="E53" s="2165"/>
      <c r="F53" s="2166"/>
      <c r="G53" s="821" t="str">
        <f t="array" ref="G53">IFERROR(INDEX('ESDS-Lookup-Table'!$B$1:$B$469,MATCH(1,('ESDS-Lookup-Table'!$A$1:$A$469=C53)*('ESDS-Lookup-Table'!$C$1:$C$469=$D$19)*('ESDS-Lookup-Table'!$D$1:$D$469=$D$21),0)),"Select Region and Activity")</f>
        <v>Mandatory</v>
      </c>
      <c r="H53" s="791" t="s">
        <v>1441</v>
      </c>
      <c r="I53" s="937">
        <f t="shared" si="1"/>
        <v>0</v>
      </c>
      <c r="J53" s="938"/>
    </row>
    <row r="54" spans="1:11" x14ac:dyDescent="0.25">
      <c r="A54" s="937"/>
      <c r="B54" s="936"/>
      <c r="C54" s="959" t="s">
        <v>34</v>
      </c>
      <c r="D54" s="960"/>
      <c r="E54" s="961"/>
      <c r="F54" s="961"/>
      <c r="G54" s="962" t="s">
        <v>1176</v>
      </c>
      <c r="H54" s="963">
        <f>SUM(I46:I53)</f>
        <v>9</v>
      </c>
      <c r="I54" s="937"/>
      <c r="J54" s="938"/>
    </row>
    <row r="55" spans="1:11" ht="7.5" customHeight="1" x14ac:dyDescent="0.25">
      <c r="A55" s="937"/>
      <c r="B55" s="936"/>
      <c r="C55" s="964"/>
      <c r="D55" s="966"/>
      <c r="E55" s="964"/>
      <c r="F55" s="964"/>
      <c r="G55" s="965"/>
      <c r="H55" s="966"/>
      <c r="I55" s="937"/>
      <c r="J55" s="938"/>
    </row>
    <row r="56" spans="1:11" x14ac:dyDescent="0.25">
      <c r="A56" s="937"/>
      <c r="B56" s="936"/>
      <c r="C56" s="1464" t="s">
        <v>1175</v>
      </c>
      <c r="D56" s="937"/>
      <c r="E56" s="1464"/>
      <c r="F56" s="1464"/>
      <c r="G56" s="965"/>
      <c r="H56" s="937"/>
      <c r="I56" s="937"/>
      <c r="J56" s="938"/>
    </row>
    <row r="57" spans="1:11" x14ac:dyDescent="0.25">
      <c r="A57" s="937"/>
      <c r="B57" s="936"/>
      <c r="C57" s="950" t="s">
        <v>1230</v>
      </c>
      <c r="D57" s="951" t="s">
        <v>1231</v>
      </c>
      <c r="E57" s="952"/>
      <c r="F57" s="952"/>
      <c r="G57" s="953" t="s">
        <v>1099</v>
      </c>
      <c r="H57" s="954" t="s">
        <v>1098</v>
      </c>
      <c r="I57" s="937"/>
      <c r="J57" s="938"/>
    </row>
    <row r="58" spans="1:11" x14ac:dyDescent="0.25">
      <c r="A58" s="937"/>
      <c r="B58" s="936"/>
      <c r="C58" s="976" t="s">
        <v>1174</v>
      </c>
      <c r="D58" s="2163" t="s">
        <v>1221</v>
      </c>
      <c r="E58" s="2157"/>
      <c r="F58" s="2158"/>
      <c r="G58" s="821" t="str">
        <f t="array" ref="G58">IFERROR(INDEX('ESDS-Lookup-Table'!$B$1:$B$469,MATCH(1,('ESDS-Lookup-Table'!$A$1:$A$469=C58)*('ESDS-Lookup-Table'!$C$1:$C$469=$D$19)*('ESDS-Lookup-Table'!$D$1:$D$469=$D$21),0)),"Select Region and Activity")</f>
        <v>Mandatory</v>
      </c>
      <c r="H58" s="791" t="s">
        <v>1441</v>
      </c>
      <c r="I58" s="937">
        <f>N(H58)</f>
        <v>0</v>
      </c>
      <c r="J58" s="938"/>
    </row>
    <row r="59" spans="1:11" x14ac:dyDescent="0.25">
      <c r="A59" s="937"/>
      <c r="B59" s="936"/>
      <c r="C59" s="978" t="s">
        <v>1173</v>
      </c>
      <c r="D59" s="2170" t="s">
        <v>1220</v>
      </c>
      <c r="E59" s="2160"/>
      <c r="F59" s="2161"/>
      <c r="G59" s="1812" t="str">
        <f t="array" ref="G59">IFERROR(INDEX('ESDS-Lookup-Table'!$B$1:$B$469,MATCH(1,('ESDS-Lookup-Table'!$A$1:$A$469=C59)*('ESDS-Lookup-Table'!$C$1:$C$469=$D$19)*('ESDS-Lookup-Table'!$D$1:$D$469=$D$21),0)),"Select Region and Activity")</f>
        <v>0, 1, 2, 4 or 6</v>
      </c>
      <c r="H59" s="791">
        <v>5</v>
      </c>
      <c r="I59" s="937">
        <f>N(H59)</f>
        <v>5</v>
      </c>
      <c r="J59" s="938"/>
    </row>
    <row r="60" spans="1:11" x14ac:dyDescent="0.25">
      <c r="A60" s="937"/>
      <c r="B60" s="936"/>
      <c r="C60" s="978" t="s">
        <v>1172</v>
      </c>
      <c r="D60" s="2171" t="s">
        <v>1171</v>
      </c>
      <c r="E60" s="2165"/>
      <c r="F60" s="2166"/>
      <c r="G60" s="821" t="str">
        <f t="array" ref="G60">IFERROR(INDEX('ESDS-Lookup-Table'!$B$1:$B$469,MATCH(1,('ESDS-Lookup-Table'!$A$1:$A$469=C60)*('ESDS-Lookup-Table'!$C$1:$C$469=$D$19)*('ESDS-Lookup-Table'!$D$1:$D$469=$D$21),0)),"Select Region and Activity")</f>
        <v>0, 4, 6 or 8</v>
      </c>
      <c r="H60" s="791">
        <v>0</v>
      </c>
      <c r="I60" s="937">
        <f>N(H60)</f>
        <v>0</v>
      </c>
      <c r="J60" s="938"/>
    </row>
    <row r="61" spans="1:11" x14ac:dyDescent="0.25">
      <c r="A61" s="937"/>
      <c r="B61" s="981"/>
      <c r="C61" s="959" t="s">
        <v>34</v>
      </c>
      <c r="D61" s="960"/>
      <c r="E61" s="961"/>
      <c r="F61" s="961"/>
      <c r="G61" s="962" t="s">
        <v>1170</v>
      </c>
      <c r="H61" s="963">
        <f>SUM(I58:I60)</f>
        <v>5</v>
      </c>
      <c r="I61" s="937"/>
      <c r="J61" s="938"/>
    </row>
    <row r="62" spans="1:11" ht="7.5" customHeight="1" x14ac:dyDescent="0.25">
      <c r="A62" s="937"/>
      <c r="B62" s="981"/>
      <c r="C62" s="964"/>
      <c r="D62" s="966"/>
      <c r="E62" s="964"/>
      <c r="F62" s="964"/>
      <c r="G62" s="965"/>
      <c r="H62" s="966"/>
      <c r="I62" s="937"/>
      <c r="J62" s="938"/>
    </row>
    <row r="63" spans="1:11" ht="7.5" customHeight="1" x14ac:dyDescent="0.25">
      <c r="A63" s="937"/>
      <c r="B63" s="981"/>
      <c r="C63" s="982"/>
      <c r="D63" s="937"/>
      <c r="E63" s="982"/>
      <c r="F63" s="982"/>
      <c r="G63" s="965"/>
      <c r="H63" s="937"/>
      <c r="I63" s="937"/>
      <c r="J63" s="938"/>
      <c r="K63" s="937"/>
    </row>
    <row r="64" spans="1:11" x14ac:dyDescent="0.25">
      <c r="A64" s="937"/>
      <c r="B64" s="981"/>
      <c r="C64" s="983" t="s">
        <v>1169</v>
      </c>
      <c r="D64" s="937"/>
      <c r="E64" s="983"/>
      <c r="F64" s="983"/>
      <c r="G64" s="965"/>
      <c r="H64" s="937"/>
      <c r="I64" s="937"/>
      <c r="J64" s="938"/>
    </row>
    <row r="65" spans="1:10" x14ac:dyDescent="0.25">
      <c r="A65" s="937"/>
      <c r="B65" s="936"/>
      <c r="C65" s="1606" t="s">
        <v>1230</v>
      </c>
      <c r="D65" s="1607" t="s">
        <v>1231</v>
      </c>
      <c r="E65" s="1608"/>
      <c r="F65" s="1608"/>
      <c r="G65" s="1609" t="s">
        <v>1099</v>
      </c>
      <c r="H65" s="1610" t="s">
        <v>1098</v>
      </c>
      <c r="I65" s="937"/>
      <c r="J65" s="938"/>
    </row>
    <row r="66" spans="1:10" x14ac:dyDescent="0.25">
      <c r="A66" s="937"/>
      <c r="B66" s="936"/>
      <c r="C66" s="984" t="s">
        <v>1168</v>
      </c>
      <c r="D66" s="2172" t="s">
        <v>1217</v>
      </c>
      <c r="E66" s="2173"/>
      <c r="F66" s="2174"/>
      <c r="G66" s="821" t="str">
        <f t="array" ref="G66">IFERROR(INDEX('ESDS-Lookup-Table'!$B$1:$B$469,MATCH(1,('ESDS-Lookup-Table'!$A$1:$A$469=C66)*('ESDS-Lookup-Table'!$C$1:$C$469=$D$19)*('ESDS-Lookup-Table'!$D$1:$D$469=$D$21),0)),"Select Region and Activity")</f>
        <v>Mandatory</v>
      </c>
      <c r="H66" s="791" t="s">
        <v>1441</v>
      </c>
      <c r="I66" s="937">
        <f t="shared" ref="I66:I83" si="2">N(H66)</f>
        <v>0</v>
      </c>
      <c r="J66" s="938"/>
    </row>
    <row r="67" spans="1:10" x14ac:dyDescent="0.25">
      <c r="A67" s="937"/>
      <c r="B67" s="936"/>
      <c r="C67" s="986" t="s">
        <v>1212</v>
      </c>
      <c r="D67" s="2175" t="s">
        <v>1224</v>
      </c>
      <c r="E67" s="2176"/>
      <c r="F67" s="2177"/>
      <c r="G67" s="1814" t="str">
        <f t="array" ref="G67">IFERROR(INDEX('ESDS-Lookup-Table'!$B$1:$B$469,MATCH(1,('ESDS-Lookup-Table'!$A$1:$A$469=C67)*('ESDS-Lookup-Table'!$C$1:$C$469=$D$19)*('ESDS-Lookup-Table'!$D$1:$D$469=$D$21),0)),"Select Region and Activity")</f>
        <v>n/a</v>
      </c>
      <c r="H67" s="791" t="s">
        <v>1356</v>
      </c>
      <c r="I67" s="937">
        <f t="shared" si="2"/>
        <v>0</v>
      </c>
      <c r="J67" s="970"/>
    </row>
    <row r="68" spans="1:10" ht="15" customHeight="1" x14ac:dyDescent="0.25">
      <c r="B68" s="936"/>
      <c r="C68" s="988" t="s">
        <v>1167</v>
      </c>
      <c r="D68" s="2175" t="s">
        <v>1249</v>
      </c>
      <c r="E68" s="2176"/>
      <c r="F68" s="2177"/>
      <c r="G68" s="1814" t="str">
        <f t="array" ref="G68">IFERROR(INDEX('ESDS-Lookup-Table'!$B$1:$B$469,MATCH(1,('ESDS-Lookup-Table'!$A$1:$A$469=C68)*('ESDS-Lookup-Table'!$C$1:$C$469=$D$19)*('ESDS-Lookup-Table'!$D$1:$D$469=$D$21),0)),"Select Region and Activity")</f>
        <v>0, 5 or 10, or 5, 7, 9, 12 or 15</v>
      </c>
      <c r="H68" s="791">
        <v>0</v>
      </c>
      <c r="I68" s="937">
        <f t="shared" si="2"/>
        <v>0</v>
      </c>
      <c r="J68" s="938"/>
    </row>
    <row r="69" spans="1:10" ht="15" customHeight="1" x14ac:dyDescent="0.25">
      <c r="B69" s="936"/>
      <c r="C69" s="986" t="s">
        <v>1213</v>
      </c>
      <c r="D69" s="2175" t="s">
        <v>1252</v>
      </c>
      <c r="E69" s="2176"/>
      <c r="F69" s="2177"/>
      <c r="G69" s="1814" t="str">
        <f t="array" ref="G69">IFERROR(INDEX('ESDS-Lookup-Table'!$B$1:$B$469,MATCH(1,('ESDS-Lookup-Table'!$A$1:$A$469=C69)*('ESDS-Lookup-Table'!$C$1:$C$469=$D$19)*('ESDS-Lookup-Table'!$D$1:$D$469=$D$21),0)),"Select Region and Activity")</f>
        <v>n/a</v>
      </c>
      <c r="H69" s="791" t="s">
        <v>1356</v>
      </c>
      <c r="I69" s="937">
        <f t="shared" si="2"/>
        <v>0</v>
      </c>
      <c r="J69" s="938"/>
    </row>
    <row r="70" spans="1:10" x14ac:dyDescent="0.25">
      <c r="B70" s="936"/>
      <c r="C70" s="988" t="s">
        <v>1166</v>
      </c>
      <c r="D70" s="2170" t="s">
        <v>1165</v>
      </c>
      <c r="E70" s="2160"/>
      <c r="F70" s="2178"/>
      <c r="G70" s="1814" t="str">
        <f t="array" ref="G70">IFERROR(INDEX('ESDS-Lookup-Table'!$B$1:$B$469,MATCH(1,('ESDS-Lookup-Table'!$A$1:$A$469=C70)*('ESDS-Lookup-Table'!$C$1:$C$469=$D$19)*('ESDS-Lookup-Table'!$D$1:$D$469=$D$21),0)),"Select Region and Activity")</f>
        <v>Mandatory</v>
      </c>
      <c r="H70" s="791" t="s">
        <v>1441</v>
      </c>
      <c r="I70" s="937">
        <f t="shared" si="2"/>
        <v>0</v>
      </c>
      <c r="J70" s="938"/>
    </row>
    <row r="71" spans="1:10" ht="15" customHeight="1" x14ac:dyDescent="0.25">
      <c r="B71" s="936"/>
      <c r="C71" s="988" t="s">
        <v>1164</v>
      </c>
      <c r="D71" s="2170" t="s">
        <v>1163</v>
      </c>
      <c r="E71" s="2160"/>
      <c r="F71" s="2178"/>
      <c r="G71" s="1814" t="str">
        <f t="array" ref="G71">IFERROR(INDEX('ESDS-Lookup-Table'!$B$1:$B$469,MATCH(1,('ESDS-Lookup-Table'!$A$1:$A$469=C71)*('ESDS-Lookup-Table'!$C$1:$C$469=$D$19)*('ESDS-Lookup-Table'!$D$1:$D$469=$D$21),0)),"Select Region and Activity")</f>
        <v>Mandatory if providing appliances</v>
      </c>
      <c r="H71" s="791" t="s">
        <v>1441</v>
      </c>
      <c r="I71" s="937">
        <f t="shared" si="2"/>
        <v>0</v>
      </c>
      <c r="J71" s="938"/>
    </row>
    <row r="72" spans="1:10" x14ac:dyDescent="0.25">
      <c r="B72" s="936"/>
      <c r="C72" s="988" t="s">
        <v>1161</v>
      </c>
      <c r="D72" s="2170" t="s">
        <v>1160</v>
      </c>
      <c r="E72" s="2160"/>
      <c r="F72" s="2178"/>
      <c r="G72" s="1814" t="str">
        <f t="array" ref="G72">IFERROR(INDEX('ESDS-Lookup-Table'!$B$1:$B$469,MATCH(1,('ESDS-Lookup-Table'!$A$1:$A$469=C72)*('ESDS-Lookup-Table'!$C$1:$C$469=$D$19)*('ESDS-Lookup-Table'!$D$1:$D$469=$D$21),0)),"Select Region and Activity")</f>
        <v>0 or 3</v>
      </c>
      <c r="H72" s="791">
        <v>3</v>
      </c>
      <c r="I72" s="937">
        <f t="shared" si="2"/>
        <v>3</v>
      </c>
      <c r="J72" s="938"/>
    </row>
    <row r="73" spans="1:10" x14ac:dyDescent="0.25">
      <c r="B73" s="936"/>
      <c r="C73" s="988" t="s">
        <v>1159</v>
      </c>
      <c r="D73" s="2170" t="s">
        <v>1158</v>
      </c>
      <c r="E73" s="2160"/>
      <c r="F73" s="2178"/>
      <c r="G73" s="1814" t="str">
        <f t="array" ref="G73">IFERROR(INDEX('ESDS-Lookup-Table'!$B$1:$B$469,MATCH(1,('ESDS-Lookup-Table'!$A$1:$A$469=C73)*('ESDS-Lookup-Table'!$C$1:$C$469=$D$19)*('ESDS-Lookup-Table'!$D$1:$D$469=$D$21),0)),"Select Region and Activity")</f>
        <v>Mandatory</v>
      </c>
      <c r="H73" s="791" t="s">
        <v>1441</v>
      </c>
      <c r="I73" s="937">
        <f t="shared" si="2"/>
        <v>0</v>
      </c>
      <c r="J73" s="938"/>
    </row>
    <row r="74" spans="1:10" x14ac:dyDescent="0.25">
      <c r="B74" s="936"/>
      <c r="C74" s="988" t="s">
        <v>1157</v>
      </c>
      <c r="D74" s="2175" t="s">
        <v>1250</v>
      </c>
      <c r="E74" s="2176"/>
      <c r="F74" s="2177"/>
      <c r="G74" s="1814" t="str">
        <f t="array" ref="G74">IFERROR(INDEX('ESDS-Lookup-Table'!$B$1:$B$469,MATCH(1,('ESDS-Lookup-Table'!$A$1:$A$469=C74)*('ESDS-Lookup-Table'!$C$1:$C$469=$D$19)*('ESDS-Lookup-Table'!$D$1:$D$469=$D$21),0)),"Select Region and Activity")</f>
        <v>Mandatory</v>
      </c>
      <c r="H74" s="791" t="s">
        <v>1441</v>
      </c>
      <c r="I74" s="937">
        <f t="shared" si="2"/>
        <v>0</v>
      </c>
      <c r="J74" s="938"/>
    </row>
    <row r="75" spans="1:10" x14ac:dyDescent="0.25">
      <c r="B75" s="936"/>
      <c r="C75" s="986" t="s">
        <v>1214</v>
      </c>
      <c r="D75" s="2167" t="s">
        <v>1251</v>
      </c>
      <c r="E75" s="2168"/>
      <c r="F75" s="2169"/>
      <c r="G75" s="1814" t="str">
        <f t="array" ref="G75">IFERROR(INDEX('ESDS-Lookup-Table'!$B$1:$B$469,MATCH(1,('ESDS-Lookup-Table'!$A$1:$A$469=C75)*('ESDS-Lookup-Table'!$C$1:$C$469=$D$19)*('ESDS-Lookup-Table'!$D$1:$D$469=$D$21),0)),"Select Region and Activity")</f>
        <v>n/a</v>
      </c>
      <c r="H75" s="791" t="s">
        <v>1356</v>
      </c>
      <c r="I75" s="937">
        <f t="shared" si="2"/>
        <v>0</v>
      </c>
      <c r="J75" s="938"/>
    </row>
    <row r="76" spans="1:10" x14ac:dyDescent="0.25">
      <c r="B76" s="936"/>
      <c r="C76" s="988" t="s">
        <v>1156</v>
      </c>
      <c r="D76" s="2175" t="s">
        <v>1253</v>
      </c>
      <c r="E76" s="2160"/>
      <c r="F76" s="2178"/>
      <c r="G76" s="1814" t="str">
        <f t="array" ref="G76">IFERROR(INDEX('ESDS-Lookup-Table'!$B$1:$B$469,MATCH(1,('ESDS-Lookup-Table'!$A$1:$A$469=C76)*('ESDS-Lookup-Table'!$C$1:$C$469=$D$19)*('ESDS-Lookup-Table'!$D$1:$D$469=$D$21),0)),"Select Region and Activity")</f>
        <v>0, 0.5 to 5</v>
      </c>
      <c r="H76" s="791">
        <v>0</v>
      </c>
      <c r="I76" s="937">
        <f t="shared" si="2"/>
        <v>0</v>
      </c>
      <c r="J76" s="938"/>
    </row>
    <row r="77" spans="1:10" x14ac:dyDescent="0.25">
      <c r="B77" s="936"/>
      <c r="C77" s="988" t="s">
        <v>1155</v>
      </c>
      <c r="D77" s="2170" t="s">
        <v>1154</v>
      </c>
      <c r="E77" s="2160"/>
      <c r="F77" s="2178"/>
      <c r="G77" s="1814" t="str">
        <f t="array" ref="G77">IFERROR(INDEX('ESDS-Lookup-Table'!$B$1:$B$469,MATCH(1,('ESDS-Lookup-Table'!$A$1:$A$469=C77)*('ESDS-Lookup-Table'!$C$1:$C$469=$D$19)*('ESDS-Lookup-Table'!$D$1:$D$469=$D$21),0)),"Select Region and Activity")</f>
        <v>0 or 1</v>
      </c>
      <c r="H77" s="791">
        <v>0</v>
      </c>
      <c r="I77" s="937">
        <f t="shared" si="2"/>
        <v>0</v>
      </c>
      <c r="J77" s="938"/>
    </row>
    <row r="78" spans="1:10" x14ac:dyDescent="0.25">
      <c r="B78" s="936"/>
      <c r="C78" s="988" t="s">
        <v>1153</v>
      </c>
      <c r="D78" s="2175" t="s">
        <v>1254</v>
      </c>
      <c r="E78" s="2160"/>
      <c r="F78" s="2178"/>
      <c r="G78" s="1814" t="str">
        <f t="array" ref="G78">IFERROR(INDEX('ESDS-Lookup-Table'!$B$1:$B$469,MATCH(1,('ESDS-Lookup-Table'!$A$1:$A$469=C78)*('ESDS-Lookup-Table'!$C$1:$C$469=$D$19)*('ESDS-Lookup-Table'!$D$1:$D$469=$D$21),0)),"Select Region and Activity")</f>
        <v>0, 1 to 10</v>
      </c>
      <c r="H78" s="791">
        <v>0</v>
      </c>
      <c r="I78" s="937">
        <f t="shared" si="2"/>
        <v>0</v>
      </c>
      <c r="J78" s="938"/>
    </row>
    <row r="79" spans="1:10" x14ac:dyDescent="0.25">
      <c r="B79" s="936"/>
      <c r="C79" s="988" t="s">
        <v>1152</v>
      </c>
      <c r="D79" s="2170" t="s">
        <v>1151</v>
      </c>
      <c r="E79" s="2160"/>
      <c r="F79" s="2178"/>
      <c r="G79" s="1814" t="str">
        <f t="array" ref="G79">IFERROR(INDEX('ESDS-Lookup-Table'!$B$1:$B$469,MATCH(1,('ESDS-Lookup-Table'!$A$1:$A$469=C79)*('ESDS-Lookup-Table'!$C$1:$C$469=$D$19)*('ESDS-Lookup-Table'!$D$1:$D$469=$D$21),0)),"Select Region and Activity")</f>
        <v>Mandatory</v>
      </c>
      <c r="H79" s="791" t="s">
        <v>1441</v>
      </c>
      <c r="I79" s="937">
        <f t="shared" si="2"/>
        <v>0</v>
      </c>
      <c r="J79" s="938"/>
    </row>
    <row r="80" spans="1:10" x14ac:dyDescent="0.25">
      <c r="B80" s="936"/>
      <c r="C80" s="988" t="s">
        <v>1150</v>
      </c>
      <c r="D80" s="2175" t="s">
        <v>1255</v>
      </c>
      <c r="E80" s="2160"/>
      <c r="F80" s="2178"/>
      <c r="G80" s="1814" t="str">
        <f t="array" ref="G80">IFERROR(INDEX('ESDS-Lookup-Table'!$B$1:$B$469,MATCH(1,('ESDS-Lookup-Table'!$A$1:$A$469=C80)*('ESDS-Lookup-Table'!$C$1:$C$469=$D$19)*('ESDS-Lookup-Table'!$D$1:$D$469=$D$21),0)),"Select Region and Activity")</f>
        <v>0, 2, 3 or 5</v>
      </c>
      <c r="H80" s="791">
        <v>5</v>
      </c>
      <c r="I80" s="937">
        <f t="shared" si="2"/>
        <v>5</v>
      </c>
      <c r="J80" s="938"/>
    </row>
    <row r="81" spans="2:13" x14ac:dyDescent="0.25">
      <c r="B81" s="936"/>
      <c r="C81" s="988">
        <v>5.1100000000000003</v>
      </c>
      <c r="D81" s="2179" t="s">
        <v>1256</v>
      </c>
      <c r="E81" s="2180"/>
      <c r="F81" s="2181"/>
      <c r="G81" s="1814" t="str">
        <f t="array" ref="G81">IFERROR(INDEX('ESDS-Lookup-Table'!$B$1:$B$469,MATCH(1,('ESDS-Lookup-Table'!$A$1:$A$469=C81)*('ESDS-Lookup-Table'!$C$1:$C$469=$D$19)*('ESDS-Lookup-Table'!$D$1:$D$469=$D$21),0)),"Select Region and Activity")</f>
        <v>n/a</v>
      </c>
      <c r="H81" s="791"/>
      <c r="I81" s="937">
        <f t="shared" si="2"/>
        <v>0</v>
      </c>
      <c r="J81" s="938"/>
    </row>
    <row r="82" spans="2:13" x14ac:dyDescent="0.25">
      <c r="B82" s="936"/>
      <c r="C82" s="988">
        <v>5.12</v>
      </c>
      <c r="D82" s="2182" t="s">
        <v>1257</v>
      </c>
      <c r="E82" s="2183"/>
      <c r="F82" s="2184"/>
      <c r="G82" s="1814" t="str">
        <f t="array" ref="G82">IFERROR(INDEX('ESDS-Lookup-Table'!$B$1:$B$469,MATCH(1,('ESDS-Lookup-Table'!$A$1:$A$469=C82)*('ESDS-Lookup-Table'!$C$1:$C$469=$D$19)*('ESDS-Lookup-Table'!$D$1:$D$469=$D$21),0)),"Select Region and Activity")</f>
        <v>n/a</v>
      </c>
      <c r="H82" s="791"/>
      <c r="I82" s="937">
        <f t="shared" si="2"/>
        <v>0</v>
      </c>
      <c r="J82" s="938"/>
    </row>
    <row r="83" spans="2:13" x14ac:dyDescent="0.25">
      <c r="B83" s="936"/>
      <c r="C83" s="990">
        <v>5.13</v>
      </c>
      <c r="D83" s="2185" t="s">
        <v>1258</v>
      </c>
      <c r="E83" s="2186"/>
      <c r="F83" s="2187"/>
      <c r="G83" s="821" t="str">
        <f t="array" ref="G83">IFERROR(INDEX('ESDS-Lookup-Table'!$B$1:$B$469,MATCH(1,('ESDS-Lookup-Table'!$A$1:$A$469=C83)*('ESDS-Lookup-Table'!$C$1:$C$469=$D$19)*('ESDS-Lookup-Table'!$D$1:$D$469=$D$21),0)),"Select Region and Activity")</f>
        <v>n/a</v>
      </c>
      <c r="H83" s="791"/>
      <c r="I83" s="937">
        <f t="shared" si="2"/>
        <v>0</v>
      </c>
      <c r="J83" s="938"/>
    </row>
    <row r="84" spans="2:13" x14ac:dyDescent="0.25">
      <c r="B84" s="936"/>
      <c r="C84" s="959" t="s">
        <v>34</v>
      </c>
      <c r="D84" s="960"/>
      <c r="E84" s="961"/>
      <c r="F84" s="961"/>
      <c r="G84" s="962" t="s">
        <v>1149</v>
      </c>
      <c r="H84" s="963">
        <f>SUM(I66:I83)</f>
        <v>8</v>
      </c>
      <c r="I84" s="937"/>
      <c r="J84" s="938"/>
    </row>
    <row r="85" spans="2:13" s="937" customFormat="1" ht="9" customHeight="1" thickBot="1" x14ac:dyDescent="0.3">
      <c r="B85" s="992"/>
      <c r="C85" s="993"/>
      <c r="D85" s="994"/>
      <c r="E85" s="993"/>
      <c r="F85" s="993"/>
      <c r="G85" s="995"/>
      <c r="H85" s="994"/>
      <c r="I85" s="994"/>
      <c r="J85" s="996"/>
      <c r="M85" s="943"/>
    </row>
    <row r="86" spans="2:13" s="937" customFormat="1" ht="26.25" customHeight="1" x14ac:dyDescent="0.25">
      <c r="B86" s="933"/>
      <c r="C86" s="997" t="s">
        <v>1148</v>
      </c>
      <c r="D86" s="934"/>
      <c r="E86" s="997"/>
      <c r="F86" s="997"/>
      <c r="G86" s="998"/>
      <c r="H86" s="934"/>
      <c r="I86" s="934"/>
      <c r="J86" s="935"/>
      <c r="M86" s="943"/>
    </row>
    <row r="87" spans="2:13" x14ac:dyDescent="0.25">
      <c r="B87" s="936"/>
      <c r="C87" s="1606" t="s">
        <v>1230</v>
      </c>
      <c r="D87" s="1607" t="s">
        <v>1231</v>
      </c>
      <c r="E87" s="1608"/>
      <c r="F87" s="1608"/>
      <c r="G87" s="1609" t="s">
        <v>1099</v>
      </c>
      <c r="H87" s="1610" t="s">
        <v>1098</v>
      </c>
      <c r="I87" s="937"/>
      <c r="J87" s="938"/>
      <c r="M87" s="821"/>
    </row>
    <row r="88" spans="2:13" x14ac:dyDescent="0.25">
      <c r="B88" s="936"/>
      <c r="C88" s="984" t="s">
        <v>1147</v>
      </c>
      <c r="D88" s="2163" t="s">
        <v>1146</v>
      </c>
      <c r="E88" s="2157"/>
      <c r="F88" s="2188"/>
      <c r="G88" s="821" t="str">
        <f t="array" ref="G88">IFERROR(INDEX('ESDS-Lookup-Table'!$B$1:$B$469,MATCH(1,('ESDS-Lookup-Table'!$A$1:$A$469=C88)*('ESDS-Lookup-Table'!$C$1:$C$469=$D$19)*('ESDS-Lookup-Table'!$D$1:$D$469=$D$21),0)),"Select Region and Activity")</f>
        <v>Mandatory</v>
      </c>
      <c r="H88" s="791" t="s">
        <v>1441</v>
      </c>
      <c r="I88" s="937">
        <f t="shared" ref="I88:I96" si="3">N(H88)</f>
        <v>0</v>
      </c>
      <c r="J88" s="938"/>
    </row>
    <row r="89" spans="2:13" x14ac:dyDescent="0.25">
      <c r="B89" s="936"/>
      <c r="C89" s="988" t="s">
        <v>1145</v>
      </c>
      <c r="D89" s="2170" t="s">
        <v>1144</v>
      </c>
      <c r="E89" s="2160"/>
      <c r="F89" s="2178"/>
      <c r="G89" s="1814" t="str">
        <f t="array" ref="G89">IFERROR(INDEX('ESDS-Lookup-Table'!$B$1:$B$469,MATCH(1,('ESDS-Lookup-Table'!$A$1:$A$469=C89)*('ESDS-Lookup-Table'!$C$1:$C$469=$D$19)*('ESDS-Lookup-Table'!$D$1:$D$469=$D$21),0)),"Select Region and Activity")</f>
        <v>Mandatory</v>
      </c>
      <c r="H89" s="791" t="s">
        <v>1441</v>
      </c>
      <c r="I89" s="937">
        <f t="shared" si="3"/>
        <v>0</v>
      </c>
      <c r="J89" s="938"/>
    </row>
    <row r="90" spans="2:13" x14ac:dyDescent="0.25">
      <c r="B90" s="936"/>
      <c r="C90" s="988" t="s">
        <v>1143</v>
      </c>
      <c r="D90" s="2170" t="s">
        <v>1142</v>
      </c>
      <c r="E90" s="2160"/>
      <c r="F90" s="2178"/>
      <c r="G90" s="1814" t="str">
        <f t="array" ref="G90">IFERROR(INDEX('ESDS-Lookup-Table'!$B$1:$B$469,MATCH(1,('ESDS-Lookup-Table'!$A$1:$A$469=C90)*('ESDS-Lookup-Table'!$C$1:$C$469=$D$19)*('ESDS-Lookup-Table'!$D$1:$D$469=$D$21),0)),"Select Region and Activity")</f>
        <v>0, 1 to 5</v>
      </c>
      <c r="H90" s="791">
        <v>2</v>
      </c>
      <c r="I90" s="937">
        <f t="shared" si="3"/>
        <v>2</v>
      </c>
      <c r="J90" s="938"/>
    </row>
    <row r="91" spans="2:13" x14ac:dyDescent="0.25">
      <c r="B91" s="936"/>
      <c r="C91" s="988" t="s">
        <v>1141</v>
      </c>
      <c r="D91" s="2170" t="s">
        <v>1140</v>
      </c>
      <c r="E91" s="2160"/>
      <c r="F91" s="2178"/>
      <c r="G91" s="1814" t="str">
        <f t="array" ref="G91">IFERROR(INDEX('ESDS-Lookup-Table'!$B$1:$B$469,MATCH(1,('ESDS-Lookup-Table'!$A$1:$A$469=C91)*('ESDS-Lookup-Table'!$C$1:$C$469=$D$19)*('ESDS-Lookup-Table'!$D$1:$D$469=$D$21),0)),"Select Region and Activity")</f>
        <v>0, 0.5 to 10</v>
      </c>
      <c r="H91" s="791">
        <v>2</v>
      </c>
      <c r="I91" s="937">
        <f t="shared" si="3"/>
        <v>2</v>
      </c>
      <c r="J91" s="938"/>
    </row>
    <row r="92" spans="2:13" x14ac:dyDescent="0.25">
      <c r="B92" s="936"/>
      <c r="C92" s="988" t="s">
        <v>1139</v>
      </c>
      <c r="D92" s="2170" t="s">
        <v>1138</v>
      </c>
      <c r="E92" s="2160"/>
      <c r="F92" s="2178"/>
      <c r="G92" s="1814" t="str">
        <f t="array" ref="G92">IFERROR(INDEX('ESDS-Lookup-Table'!$B$1:$B$469,MATCH(1,('ESDS-Lookup-Table'!$A$1:$A$469=C92)*('ESDS-Lookup-Table'!$C$1:$C$469=$D$19)*('ESDS-Lookup-Table'!$D$1:$D$469=$D$21),0)),"Select Region and Activity")</f>
        <v>0, 1 to 5</v>
      </c>
      <c r="H92" s="791">
        <v>0</v>
      </c>
      <c r="I92" s="937">
        <f t="shared" si="3"/>
        <v>0</v>
      </c>
      <c r="J92" s="938"/>
    </row>
    <row r="93" spans="2:13" x14ac:dyDescent="0.25">
      <c r="B93" s="936"/>
      <c r="C93" s="988" t="s">
        <v>1137</v>
      </c>
      <c r="D93" s="2170" t="s">
        <v>1136</v>
      </c>
      <c r="E93" s="2160"/>
      <c r="F93" s="2178"/>
      <c r="G93" s="1814" t="str">
        <f t="array" ref="G93">IFERROR(INDEX('ESDS-Lookup-Table'!$B$1:$B$469,MATCH(1,('ESDS-Lookup-Table'!$A$1:$A$469=C93)*('ESDS-Lookup-Table'!$C$1:$C$469=$D$19)*('ESDS-Lookup-Table'!$D$1:$D$469=$D$21),0)),"Select Region and Activity")</f>
        <v>0, 1 to 5</v>
      </c>
      <c r="H93" s="791">
        <v>0</v>
      </c>
      <c r="I93" s="937">
        <f t="shared" si="3"/>
        <v>0</v>
      </c>
      <c r="J93" s="938"/>
    </row>
    <row r="94" spans="2:13" x14ac:dyDescent="0.25">
      <c r="B94" s="936"/>
      <c r="C94" s="988" t="s">
        <v>1135</v>
      </c>
      <c r="D94" s="2170" t="s">
        <v>1134</v>
      </c>
      <c r="E94" s="2160"/>
      <c r="F94" s="2178"/>
      <c r="G94" s="1814" t="str">
        <f t="array" ref="G94">IFERROR(INDEX('ESDS-Lookup-Table'!$B$1:$B$469,MATCH(1,('ESDS-Lookup-Table'!$A$1:$A$469=C94)*('ESDS-Lookup-Table'!$C$1:$C$469=$D$19)*('ESDS-Lookup-Table'!$D$1:$D$469=$D$21),0)),"Select Region and Activity")</f>
        <v>0 or 5</v>
      </c>
      <c r="H94" s="791">
        <v>5</v>
      </c>
      <c r="I94" s="937">
        <f t="shared" si="3"/>
        <v>5</v>
      </c>
      <c r="J94" s="938"/>
    </row>
    <row r="95" spans="2:13" x14ac:dyDescent="0.25">
      <c r="B95" s="936"/>
      <c r="C95" s="988" t="s">
        <v>1133</v>
      </c>
      <c r="D95" s="2170" t="s">
        <v>1132</v>
      </c>
      <c r="E95" s="2160"/>
      <c r="F95" s="2178"/>
      <c r="G95" s="1814" t="str">
        <f t="array" ref="G95">IFERROR(INDEX('ESDS-Lookup-Table'!$B$1:$B$469,MATCH(1,('ESDS-Lookup-Table'!$A$1:$A$469=C95)*('ESDS-Lookup-Table'!$C$1:$C$469=$D$19)*('ESDS-Lookup-Table'!$D$1:$D$469=$D$21),0)),"Select Region and Activity")</f>
        <v>0 or 5</v>
      </c>
      <c r="H95" s="791">
        <v>0</v>
      </c>
      <c r="I95" s="937">
        <f t="shared" si="3"/>
        <v>0</v>
      </c>
      <c r="J95" s="938"/>
    </row>
    <row r="96" spans="2:13" x14ac:dyDescent="0.25">
      <c r="B96" s="936"/>
      <c r="C96" s="990" t="s">
        <v>1131</v>
      </c>
      <c r="D96" s="2171" t="s">
        <v>1130</v>
      </c>
      <c r="E96" s="2165"/>
      <c r="F96" s="2189"/>
      <c r="G96" s="821" t="str">
        <f t="array" ref="G96">IFERROR(INDEX('ESDS-Lookup-Table'!$B$1:$B$469,MATCH(1,('ESDS-Lookup-Table'!$A$1:$A$469=C96)*('ESDS-Lookup-Table'!$C$1:$C$469=$D$19)*('ESDS-Lookup-Table'!$D$1:$D$469=$D$21),0)),"Select Region and Activity")</f>
        <v>0, 1, 2 or 3</v>
      </c>
      <c r="H96" s="791">
        <v>0</v>
      </c>
      <c r="I96" s="937">
        <f t="shared" si="3"/>
        <v>0</v>
      </c>
      <c r="J96" s="938"/>
    </row>
    <row r="97" spans="2:14" x14ac:dyDescent="0.25">
      <c r="B97" s="936"/>
      <c r="C97" s="959" t="s">
        <v>34</v>
      </c>
      <c r="D97" s="960"/>
      <c r="E97" s="961"/>
      <c r="F97" s="961"/>
      <c r="G97" s="962" t="s">
        <v>1129</v>
      </c>
      <c r="H97" s="963">
        <f>SUM(I88:I96)</f>
        <v>9</v>
      </c>
      <c r="I97" s="937"/>
      <c r="J97" s="938"/>
      <c r="N97" s="937"/>
    </row>
    <row r="98" spans="2:14" s="937" customFormat="1" ht="7.5" customHeight="1" x14ac:dyDescent="0.25">
      <c r="B98" s="936"/>
      <c r="C98" s="964"/>
      <c r="D98" s="966"/>
      <c r="E98" s="964"/>
      <c r="F98" s="964"/>
      <c r="G98" s="965"/>
      <c r="H98" s="966"/>
      <c r="J98" s="938"/>
      <c r="M98" s="943"/>
    </row>
    <row r="99" spans="2:14" s="937" customFormat="1" ht="7.5" customHeight="1" x14ac:dyDescent="0.25">
      <c r="B99" s="936"/>
      <c r="C99" s="982"/>
      <c r="E99" s="982"/>
      <c r="F99" s="982"/>
      <c r="G99" s="965"/>
      <c r="J99" s="938"/>
      <c r="M99" s="943"/>
    </row>
    <row r="100" spans="2:14" s="937" customFormat="1" x14ac:dyDescent="0.25">
      <c r="B100" s="936"/>
      <c r="C100" s="983" t="s">
        <v>1128</v>
      </c>
      <c r="E100" s="983"/>
      <c r="F100" s="983"/>
      <c r="G100" s="965"/>
      <c r="J100" s="938"/>
      <c r="M100" s="943"/>
    </row>
    <row r="101" spans="2:14" x14ac:dyDescent="0.25">
      <c r="B101" s="936"/>
      <c r="C101" s="1606" t="s">
        <v>1230</v>
      </c>
      <c r="D101" s="1607" t="s">
        <v>1231</v>
      </c>
      <c r="E101" s="1608"/>
      <c r="F101" s="1608"/>
      <c r="G101" s="1609" t="s">
        <v>1099</v>
      </c>
      <c r="H101" s="1610" t="s">
        <v>1098</v>
      </c>
      <c r="I101" s="937"/>
      <c r="J101" s="938"/>
    </row>
    <row r="102" spans="2:14" x14ac:dyDescent="0.25">
      <c r="B102" s="936"/>
      <c r="C102" s="984" t="s">
        <v>1127</v>
      </c>
      <c r="D102" s="2190" t="s">
        <v>1126</v>
      </c>
      <c r="E102" s="2191"/>
      <c r="F102" s="2192"/>
      <c r="G102" s="821" t="str">
        <f t="array" ref="G102">IFERROR(INDEX('ESDS-Lookup-Table'!$B$1:$B$469,MATCH(1,('ESDS-Lookup-Table'!$A$1:$A$469=C102)*('ESDS-Lookup-Table'!$C$1:$C$469=$D$19)*('ESDS-Lookup-Table'!$D$1:$D$469=$D$21),0)),"Select Region and Activity")</f>
        <v>Mandatory</v>
      </c>
      <c r="H102" s="791" t="s">
        <v>1441</v>
      </c>
      <c r="I102" s="937">
        <f t="shared" ref="I102:I123" si="4">N(H102)</f>
        <v>0</v>
      </c>
      <c r="J102" s="938"/>
    </row>
    <row r="103" spans="2:14" ht="15" customHeight="1" x14ac:dyDescent="0.25">
      <c r="B103" s="936"/>
      <c r="C103" s="988" t="s">
        <v>1125</v>
      </c>
      <c r="D103" s="2170" t="s">
        <v>1122</v>
      </c>
      <c r="E103" s="2160"/>
      <c r="F103" s="2178"/>
      <c r="G103" s="1815" t="str">
        <f t="array" ref="G103">IFERROR(INDEX('ESDS-Lookup-Table'!$B$1:$B$469,MATCH(1,('ESDS-Lookup-Table'!$A$1:$A$469=C103)*('ESDS-Lookup-Table'!$C$1:$C$469=$D$19)*('ESDS-Lookup-Table'!$D$1:$D$469=$D$21),0)),"Select Region and Activity")</f>
        <v>Mandatory if providing floor coverings</v>
      </c>
      <c r="H103" s="791" t="s">
        <v>1441</v>
      </c>
      <c r="I103" s="937">
        <f t="shared" si="4"/>
        <v>0</v>
      </c>
      <c r="J103" s="938"/>
    </row>
    <row r="104" spans="2:14" x14ac:dyDescent="0.25">
      <c r="B104" s="936"/>
      <c r="C104" s="988" t="s">
        <v>1123</v>
      </c>
      <c r="D104" s="2170" t="s">
        <v>1122</v>
      </c>
      <c r="E104" s="2160"/>
      <c r="F104" s="2178"/>
      <c r="G104" s="1814" t="str">
        <f t="array" ref="G104">IFERROR(INDEX('ESDS-Lookup-Table'!$B$1:$B$469,MATCH(1,('ESDS-Lookup-Table'!$A$1:$A$469=C104)*('ESDS-Lookup-Table'!$C$1:$C$469=$D$19)*('ESDS-Lookup-Table'!$D$1:$D$469=$D$21),0)),"Select Region and Activity")</f>
        <v>0 or 4</v>
      </c>
      <c r="H104" s="791">
        <v>0</v>
      </c>
      <c r="I104" s="937">
        <f t="shared" si="4"/>
        <v>0</v>
      </c>
      <c r="J104" s="938"/>
    </row>
    <row r="105" spans="2:14" x14ac:dyDescent="0.25">
      <c r="B105" s="936"/>
      <c r="C105" s="988" t="s">
        <v>1121</v>
      </c>
      <c r="D105" s="2175" t="s">
        <v>1225</v>
      </c>
      <c r="E105" s="2176"/>
      <c r="F105" s="2177"/>
      <c r="G105" s="1814" t="str">
        <f t="array" ref="G105">IFERROR(INDEX('ESDS-Lookup-Table'!$B$1:$B$469,MATCH(1,('ESDS-Lookup-Table'!$A$1:$A$469=C105)*('ESDS-Lookup-Table'!$C$1:$C$469=$D$19)*('ESDS-Lookup-Table'!$D$1:$D$469=$D$21),0)),"Select Region and Activity")</f>
        <v>Mandatory</v>
      </c>
      <c r="H105" s="791" t="s">
        <v>1441</v>
      </c>
      <c r="I105" s="937">
        <f t="shared" si="4"/>
        <v>0</v>
      </c>
      <c r="J105" s="938"/>
      <c r="N105" s="814"/>
    </row>
    <row r="106" spans="2:14" x14ac:dyDescent="0.25">
      <c r="B106" s="936"/>
      <c r="C106" s="986" t="s">
        <v>1215</v>
      </c>
      <c r="D106" s="2167" t="s">
        <v>1226</v>
      </c>
      <c r="E106" s="2168"/>
      <c r="F106" s="2169"/>
      <c r="G106" s="1814" t="str">
        <f t="array" ref="G106">IFERROR(INDEX('ESDS-Lookup-Table'!$B$1:$B$469,MATCH(1,('ESDS-Lookup-Table'!$A$1:$A$469=C106)*('ESDS-Lookup-Table'!$C$1:$C$469=$D$19)*('ESDS-Lookup-Table'!$D$1:$D$469=$D$21),0)),"Select Region and Activity")</f>
        <v>n/a</v>
      </c>
      <c r="H106" s="791"/>
      <c r="I106" s="937">
        <f t="shared" si="4"/>
        <v>0</v>
      </c>
      <c r="J106" s="938"/>
      <c r="N106" s="814"/>
    </row>
    <row r="107" spans="2:14" x14ac:dyDescent="0.25">
      <c r="B107" s="936"/>
      <c r="C107" s="988" t="s">
        <v>1120</v>
      </c>
      <c r="D107" s="2175" t="s">
        <v>1227</v>
      </c>
      <c r="E107" s="2176"/>
      <c r="F107" s="2177"/>
      <c r="G107" s="1814" t="str">
        <f t="array" ref="G107">IFERROR(INDEX('ESDS-Lookup-Table'!$B$1:$B$469,MATCH(1,('ESDS-Lookup-Table'!$A$1:$A$469=C107)*('ESDS-Lookup-Table'!$C$1:$C$469=$D$19)*('ESDS-Lookup-Table'!$D$1:$D$469=$D$21),0)),"Select Region and Activity")</f>
        <v>Mandatory</v>
      </c>
      <c r="H107" s="791" t="s">
        <v>1441</v>
      </c>
      <c r="I107" s="937">
        <f t="shared" si="4"/>
        <v>0</v>
      </c>
      <c r="J107" s="938"/>
      <c r="N107" s="814"/>
    </row>
    <row r="108" spans="2:14" x14ac:dyDescent="0.25">
      <c r="B108" s="936"/>
      <c r="C108" s="986" t="s">
        <v>1216</v>
      </c>
      <c r="D108" s="2175" t="s">
        <v>1228</v>
      </c>
      <c r="E108" s="2176"/>
      <c r="F108" s="2177"/>
      <c r="G108" s="1814" t="str">
        <f t="array" ref="G108">IFERROR(INDEX('ESDS-Lookup-Table'!$B$1:$B$469,MATCH(1,('ESDS-Lookup-Table'!$A$1:$A$469=C108)*('ESDS-Lookup-Table'!$C$1:$C$469=$D$19)*('ESDS-Lookup-Table'!$D$1:$D$469=$D$21),0)),"Select Region and Activity")</f>
        <v>n/a</v>
      </c>
      <c r="H108" s="791"/>
      <c r="I108" s="937">
        <f t="shared" si="4"/>
        <v>0</v>
      </c>
      <c r="J108" s="938"/>
      <c r="N108" s="814"/>
    </row>
    <row r="109" spans="2:14" x14ac:dyDescent="0.25">
      <c r="B109" s="936"/>
      <c r="C109" s="988">
        <v>7.5</v>
      </c>
      <c r="D109" s="2170" t="s">
        <v>1119</v>
      </c>
      <c r="E109" s="2160"/>
      <c r="F109" s="2178"/>
      <c r="G109" s="1814" t="str">
        <f t="array" ref="G109">IFERROR(INDEX('ESDS-Lookup-Table'!$B$1:$B$469,MATCH(1,('ESDS-Lookup-Table'!$A$1:$A$469=C109)*('ESDS-Lookup-Table'!$C$1:$C$469=$D$19)*('ESDS-Lookup-Table'!$D$1:$D$469=$D$21),0)),"Select Region and Activity")</f>
        <v>Mandatory</v>
      </c>
      <c r="H109" s="791" t="s">
        <v>1441</v>
      </c>
      <c r="I109" s="937">
        <f t="shared" si="4"/>
        <v>0</v>
      </c>
      <c r="J109" s="938"/>
    </row>
    <row r="110" spans="2:14" x14ac:dyDescent="0.25">
      <c r="B110" s="936"/>
      <c r="C110" s="988">
        <v>7.6</v>
      </c>
      <c r="D110" s="2170" t="s">
        <v>1118</v>
      </c>
      <c r="E110" s="2160"/>
      <c r="F110" s="2178"/>
      <c r="G110" s="1814" t="str">
        <f t="array" ref="G110">IFERROR(INDEX('ESDS-Lookup-Table'!$B$1:$B$469,MATCH(1,('ESDS-Lookup-Table'!$A$1:$A$469=C110)*('ESDS-Lookup-Table'!$C$1:$C$469=$D$19)*('ESDS-Lookup-Table'!$D$1:$D$469=$D$21),0)),"Select Region and Activity")</f>
        <v>Mandatory</v>
      </c>
      <c r="H110" s="791" t="s">
        <v>1441</v>
      </c>
      <c r="I110" s="937">
        <f t="shared" si="4"/>
        <v>0</v>
      </c>
      <c r="J110" s="938"/>
    </row>
    <row r="111" spans="2:14" x14ac:dyDescent="0.25">
      <c r="B111" s="936"/>
      <c r="C111" s="988">
        <v>7.7</v>
      </c>
      <c r="D111" s="2170" t="s">
        <v>1117</v>
      </c>
      <c r="E111" s="2160"/>
      <c r="F111" s="2178"/>
      <c r="G111" s="1814" t="str">
        <f t="array" ref="G111">IFERROR(INDEX('ESDS-Lookup-Table'!$B$1:$B$469,MATCH(1,('ESDS-Lookup-Table'!$A$1:$A$469=C111)*('ESDS-Lookup-Table'!$C$1:$C$469=$D$19)*('ESDS-Lookup-Table'!$D$1:$D$469=$D$21),0)),"Select Region and Activity")</f>
        <v>Mandatory</v>
      </c>
      <c r="H111" s="791" t="s">
        <v>1441</v>
      </c>
      <c r="I111" s="937">
        <f t="shared" si="4"/>
        <v>0</v>
      </c>
      <c r="J111" s="938"/>
    </row>
    <row r="112" spans="2:14" x14ac:dyDescent="0.25">
      <c r="B112" s="936"/>
      <c r="C112" s="988">
        <v>7.8</v>
      </c>
      <c r="D112" s="2170" t="s">
        <v>1116</v>
      </c>
      <c r="E112" s="2160"/>
      <c r="F112" s="2178"/>
      <c r="G112" s="1814" t="str">
        <f t="array" ref="G112">IFERROR(INDEX('ESDS-Lookup-Table'!$B$1:$B$469,MATCH(1,('ESDS-Lookup-Table'!$A$1:$A$469=C112)*('ESDS-Lookup-Table'!$C$1:$C$469=$D$19)*('ESDS-Lookup-Table'!$D$1:$D$469=$D$21),0)),"Select Region and Activity")</f>
        <v>Mandatory</v>
      </c>
      <c r="H112" s="791" t="s">
        <v>1441</v>
      </c>
      <c r="I112" s="937">
        <f t="shared" si="4"/>
        <v>0</v>
      </c>
      <c r="J112" s="938"/>
    </row>
    <row r="113" spans="2:12" s="1816" customFormat="1" x14ac:dyDescent="0.25">
      <c r="B113" s="999"/>
      <c r="C113" s="1000" t="s">
        <v>1115</v>
      </c>
      <c r="D113" s="2193" t="s">
        <v>1229</v>
      </c>
      <c r="E113" s="2146"/>
      <c r="F113" s="2194"/>
      <c r="G113" s="1814" t="str">
        <f t="array" ref="G113">IFERROR(INDEX('ESDS-Lookup-Table'!$B$1:$B$469,MATCH(1,('ESDS-Lookup-Table'!$A$1:$A$469=C113)*('ESDS-Lookup-Table'!$C$1:$C$469=$D$19)*('ESDS-Lookup-Table'!$D$1:$D$469=$D$21),0)),"Select Region and Activity")</f>
        <v>Mandatory</v>
      </c>
      <c r="H113" s="791" t="s">
        <v>1441</v>
      </c>
      <c r="I113" s="937">
        <f t="shared" si="4"/>
        <v>0</v>
      </c>
      <c r="J113" s="1001"/>
      <c r="L113" s="943"/>
    </row>
    <row r="114" spans="2:12" x14ac:dyDescent="0.25">
      <c r="B114" s="936"/>
      <c r="C114" s="988" t="s">
        <v>1114</v>
      </c>
      <c r="D114" s="2170" t="s">
        <v>1113</v>
      </c>
      <c r="E114" s="2160"/>
      <c r="F114" s="2178"/>
      <c r="G114" s="1814" t="str">
        <f t="array" ref="G114">IFERROR(INDEX('ESDS-Lookup-Table'!$B$1:$B$469,MATCH(1,('ESDS-Lookup-Table'!$A$1:$A$469=C114)*('ESDS-Lookup-Table'!$C$1:$C$469=$D$19)*('ESDS-Lookup-Table'!$D$1:$D$469=$D$21),0)),"Select Region and Activity")</f>
        <v>Mandatory</v>
      </c>
      <c r="H114" s="791" t="s">
        <v>1441</v>
      </c>
      <c r="I114" s="937">
        <f t="shared" si="4"/>
        <v>0</v>
      </c>
      <c r="J114" s="938"/>
    </row>
    <row r="115" spans="2:12" x14ac:dyDescent="0.25">
      <c r="B115" s="936"/>
      <c r="C115" s="988" t="s">
        <v>1112</v>
      </c>
      <c r="D115" s="2170" t="s">
        <v>1111</v>
      </c>
      <c r="E115" s="2160"/>
      <c r="F115" s="2178"/>
      <c r="G115" s="1814" t="str">
        <f t="array" ref="G115">IFERROR(INDEX('ESDS-Lookup-Table'!$B$1:$B$469,MATCH(1,('ESDS-Lookup-Table'!$A$1:$A$469=C115)*('ESDS-Lookup-Table'!$C$1:$C$469=$D$19)*('ESDS-Lookup-Table'!$D$1:$D$469=$D$21),0)),"Select Region and Activity")</f>
        <v>Mandatory</v>
      </c>
      <c r="H115" s="791" t="s">
        <v>1441</v>
      </c>
      <c r="I115" s="937">
        <f t="shared" si="4"/>
        <v>0</v>
      </c>
      <c r="J115" s="938"/>
    </row>
    <row r="116" spans="2:12" x14ac:dyDescent="0.25">
      <c r="B116" s="936"/>
      <c r="C116" s="988" t="s">
        <v>1110</v>
      </c>
      <c r="D116" s="2170" t="s">
        <v>1109</v>
      </c>
      <c r="E116" s="2160"/>
      <c r="F116" s="2178"/>
      <c r="G116" s="1814" t="str">
        <f t="array" ref="G116">IFERROR(INDEX('ESDS-Lookup-Table'!$B$1:$B$469,MATCH(1,('ESDS-Lookup-Table'!$A$1:$A$469=C116)*('ESDS-Lookup-Table'!$C$1:$C$469=$D$19)*('ESDS-Lookup-Table'!$D$1:$D$469=$D$21),0)),"Select Region and Activity")</f>
        <v>Mandatory</v>
      </c>
      <c r="H116" s="791" t="s">
        <v>1441</v>
      </c>
      <c r="I116" s="937">
        <f t="shared" si="4"/>
        <v>0</v>
      </c>
      <c r="J116" s="938"/>
    </row>
    <row r="117" spans="2:12" x14ac:dyDescent="0.25">
      <c r="B117" s="936"/>
      <c r="C117" s="988">
        <v>7.11</v>
      </c>
      <c r="D117" s="2170" t="s">
        <v>1108</v>
      </c>
      <c r="E117" s="2160"/>
      <c r="F117" s="2178"/>
      <c r="G117" s="1814" t="str">
        <f t="array" ref="G117">IFERROR(INDEX('ESDS-Lookup-Table'!$B$1:$B$469,MATCH(1,('ESDS-Lookup-Table'!$A$1:$A$469=C117)*('ESDS-Lookup-Table'!$C$1:$C$469=$D$19)*('ESDS-Lookup-Table'!$D$1:$D$469=$D$21),0)),"Select Region and Activity")</f>
        <v>Mandatory</v>
      </c>
      <c r="H117" s="791" t="s">
        <v>1441</v>
      </c>
      <c r="I117" s="937">
        <f t="shared" si="4"/>
        <v>0</v>
      </c>
      <c r="J117" s="938"/>
    </row>
    <row r="118" spans="2:12" x14ac:dyDescent="0.25">
      <c r="B118" s="936"/>
      <c r="C118" s="988">
        <v>7.12</v>
      </c>
      <c r="D118" s="2170" t="s">
        <v>1107</v>
      </c>
      <c r="E118" s="2160"/>
      <c r="F118" s="2178"/>
      <c r="G118" s="1814" t="str">
        <f t="array" ref="G118">IFERROR(INDEX('ESDS-Lookup-Table'!$B$1:$B$469,MATCH(1,('ESDS-Lookup-Table'!$A$1:$A$469=C118)*('ESDS-Lookup-Table'!$C$1:$C$469=$D$19)*('ESDS-Lookup-Table'!$D$1:$D$469=$D$21),0)),"Select Region and Activity")</f>
        <v>Mandatory</v>
      </c>
      <c r="H118" s="791" t="s">
        <v>1441</v>
      </c>
      <c r="I118" s="937">
        <f t="shared" si="4"/>
        <v>0</v>
      </c>
      <c r="J118" s="938"/>
    </row>
    <row r="119" spans="2:12" x14ac:dyDescent="0.25">
      <c r="B119" s="936"/>
      <c r="C119" s="988">
        <v>7.13</v>
      </c>
      <c r="D119" s="2170" t="s">
        <v>1106</v>
      </c>
      <c r="E119" s="2160"/>
      <c r="F119" s="2178"/>
      <c r="G119" s="1814" t="str">
        <f t="array" ref="G119">IFERROR(INDEX('ESDS-Lookup-Table'!$B$1:$B$469,MATCH(1,('ESDS-Lookup-Table'!$A$1:$A$469=C119)*('ESDS-Lookup-Table'!$C$1:$C$469=$D$19)*('ESDS-Lookup-Table'!$D$1:$D$469=$D$21),0)),"Select Region and Activity")</f>
        <v>0, 2 to 8</v>
      </c>
      <c r="H119" s="791">
        <v>8</v>
      </c>
      <c r="I119" s="937">
        <f t="shared" si="4"/>
        <v>8</v>
      </c>
      <c r="J119" s="970"/>
    </row>
    <row r="120" spans="2:12" x14ac:dyDescent="0.25">
      <c r="B120" s="936"/>
      <c r="C120" s="988">
        <v>7.14</v>
      </c>
      <c r="D120" s="2170" t="s">
        <v>1105</v>
      </c>
      <c r="E120" s="2160"/>
      <c r="F120" s="2178"/>
      <c r="G120" s="1814" t="str">
        <f t="array" ref="G120">IFERROR(INDEX('ESDS-Lookup-Table'!$B$1:$B$469,MATCH(1,('ESDS-Lookup-Table'!$A$1:$A$469=C120)*('ESDS-Lookup-Table'!$C$1:$C$469=$D$19)*('ESDS-Lookup-Table'!$D$1:$D$469=$D$21),0)),"Select Region and Activity")</f>
        <v>Mandatory</v>
      </c>
      <c r="H120" s="791" t="s">
        <v>1441</v>
      </c>
      <c r="I120" s="937">
        <f t="shared" si="4"/>
        <v>0</v>
      </c>
      <c r="J120" s="938"/>
    </row>
    <row r="121" spans="2:12" x14ac:dyDescent="0.25">
      <c r="B121" s="936"/>
      <c r="C121" s="988">
        <v>7.15</v>
      </c>
      <c r="D121" s="2170" t="s">
        <v>1104</v>
      </c>
      <c r="E121" s="2160"/>
      <c r="F121" s="2178"/>
      <c r="G121" s="1814" t="str">
        <f t="array" ref="G121">IFERROR(INDEX('ESDS-Lookup-Table'!$B$1:$B$469,MATCH(1,('ESDS-Lookup-Table'!$A$1:$A$469=C121)*('ESDS-Lookup-Table'!$C$1:$C$469=$D$19)*('ESDS-Lookup-Table'!$D$1:$D$469=$D$21),0)),"Select Region and Activity")</f>
        <v>Mandatory</v>
      </c>
      <c r="H121" s="791" t="s">
        <v>1441</v>
      </c>
      <c r="I121" s="937">
        <f t="shared" si="4"/>
        <v>0</v>
      </c>
      <c r="J121" s="938"/>
    </row>
    <row r="122" spans="2:12" x14ac:dyDescent="0.25">
      <c r="B122" s="936"/>
      <c r="C122" s="988">
        <v>7.16</v>
      </c>
      <c r="D122" s="2170" t="s">
        <v>1103</v>
      </c>
      <c r="E122" s="2160"/>
      <c r="F122" s="2178"/>
      <c r="G122" s="1814" t="str">
        <f t="array" ref="G122">IFERROR(INDEX('ESDS-Lookup-Table'!$B$1:$B$469,MATCH(1,('ESDS-Lookup-Table'!$A$1:$A$469=C122)*('ESDS-Lookup-Table'!$C$1:$C$469=$D$19)*('ESDS-Lookup-Table'!$D$1:$D$469=$D$21),0)),"Select Region and Activity")</f>
        <v>Mandatory</v>
      </c>
      <c r="H122" s="791" t="s">
        <v>1441</v>
      </c>
      <c r="I122" s="937">
        <f t="shared" si="4"/>
        <v>0</v>
      </c>
      <c r="J122" s="938"/>
    </row>
    <row r="123" spans="2:12" x14ac:dyDescent="0.25">
      <c r="B123" s="936"/>
      <c r="C123" s="990">
        <v>7.17</v>
      </c>
      <c r="D123" s="2171" t="s">
        <v>1102</v>
      </c>
      <c r="E123" s="2165"/>
      <c r="F123" s="2189"/>
      <c r="G123" s="821" t="str">
        <f t="array" ref="G123">IFERROR(INDEX('ESDS-Lookup-Table'!$B$1:$B$469,MATCH(1,('ESDS-Lookup-Table'!$A$1:$A$469=C123)*('ESDS-Lookup-Table'!$C$1:$C$469=$D$19)*('ESDS-Lookup-Table'!$D$1:$D$469=$D$21),0)),"Select Region and Activity")</f>
        <v>0 or 7</v>
      </c>
      <c r="H123" s="791">
        <v>7</v>
      </c>
      <c r="I123" s="937">
        <f t="shared" si="4"/>
        <v>7</v>
      </c>
      <c r="J123" s="938"/>
    </row>
    <row r="124" spans="2:12" x14ac:dyDescent="0.25">
      <c r="B124" s="936"/>
      <c r="C124" s="959"/>
      <c r="D124" s="960"/>
      <c r="E124" s="961"/>
      <c r="F124" s="961"/>
      <c r="G124" s="962" t="s">
        <v>1101</v>
      </c>
      <c r="H124" s="963">
        <f>SUM(I102:I123)</f>
        <v>15</v>
      </c>
      <c r="I124" s="937"/>
      <c r="J124" s="938"/>
    </row>
    <row r="125" spans="2:12" ht="7.5" customHeight="1" x14ac:dyDescent="0.25">
      <c r="B125" s="936"/>
      <c r="C125" s="964"/>
      <c r="D125" s="966"/>
      <c r="E125" s="964"/>
      <c r="F125" s="964"/>
      <c r="G125" s="965"/>
      <c r="H125" s="966"/>
      <c r="I125" s="937"/>
      <c r="J125" s="938"/>
    </row>
    <row r="126" spans="2:12" x14ac:dyDescent="0.25">
      <c r="B126" s="936"/>
      <c r="C126" s="983" t="s">
        <v>1100</v>
      </c>
      <c r="D126" s="937"/>
      <c r="E126" s="983"/>
      <c r="F126" s="983"/>
      <c r="G126" s="965"/>
      <c r="H126" s="937"/>
      <c r="I126" s="937"/>
      <c r="J126" s="938"/>
    </row>
    <row r="127" spans="2:12" x14ac:dyDescent="0.25">
      <c r="B127" s="936"/>
      <c r="C127" s="1606" t="s">
        <v>1230</v>
      </c>
      <c r="D127" s="1607" t="s">
        <v>1231</v>
      </c>
      <c r="E127" s="1608"/>
      <c r="F127" s="1608"/>
      <c r="G127" s="1609" t="s">
        <v>1099</v>
      </c>
      <c r="H127" s="1610" t="s">
        <v>1098</v>
      </c>
      <c r="I127" s="937"/>
      <c r="J127" s="938"/>
    </row>
    <row r="128" spans="2:12" x14ac:dyDescent="0.25">
      <c r="B128" s="936"/>
      <c r="C128" s="984" t="s">
        <v>1097</v>
      </c>
      <c r="D128" s="2163" t="s">
        <v>1096</v>
      </c>
      <c r="E128" s="2157"/>
      <c r="F128" s="2188"/>
      <c r="G128" s="821" t="str">
        <f t="array" ref="G128">IFERROR(INDEX('ESDS-Lookup-Table'!$B$1:$B$469,MATCH(1,('ESDS-Lookup-Table'!$A$1:$A$469=C128)*('ESDS-Lookup-Table'!$C$1:$C$469=$D$19)*('ESDS-Lookup-Table'!$D$1:$D$469=$D$21),0)),"Select Region and Activity")</f>
        <v>Mandatory</v>
      </c>
      <c r="H128" s="791" t="s">
        <v>1441</v>
      </c>
      <c r="I128" s="937">
        <f>N(H128)</f>
        <v>0</v>
      </c>
      <c r="J128" s="938"/>
    </row>
    <row r="129" spans="2:10" x14ac:dyDescent="0.25">
      <c r="B129" s="936"/>
      <c r="C129" s="988" t="s">
        <v>1095</v>
      </c>
      <c r="D129" s="2170" t="s">
        <v>1094</v>
      </c>
      <c r="E129" s="2160"/>
      <c r="F129" s="2178"/>
      <c r="G129" s="1814" t="str">
        <f t="array" ref="G129">IFERROR(INDEX('ESDS-Lookup-Table'!$B$1:$B$469,MATCH(1,('ESDS-Lookup-Table'!$A$1:$A$469=C129)*('ESDS-Lookup-Table'!$C$1:$C$469=$D$19)*('ESDS-Lookup-Table'!$D$1:$D$469=$D$21),0)),"Select Region and Activity")</f>
        <v>Mandatory</v>
      </c>
      <c r="H129" s="791" t="s">
        <v>1441</v>
      </c>
      <c r="I129" s="937">
        <f>N(H129)</f>
        <v>0</v>
      </c>
      <c r="J129" s="938"/>
    </row>
    <row r="130" spans="2:10" x14ac:dyDescent="0.25">
      <c r="B130" s="936"/>
      <c r="C130" s="988" t="s">
        <v>1093</v>
      </c>
      <c r="D130" s="2170" t="s">
        <v>1092</v>
      </c>
      <c r="E130" s="2160"/>
      <c r="F130" s="2178"/>
      <c r="G130" s="1814" t="str">
        <f t="array" ref="G130">IFERROR(INDEX('ESDS-Lookup-Table'!$B$1:$B$469,MATCH(1,('ESDS-Lookup-Table'!$A$1:$A$469=C130)*('ESDS-Lookup-Table'!$C$1:$C$469=$D$19)*('ESDS-Lookup-Table'!$D$1:$D$469=$D$21),0)),"Select Region and Activity")</f>
        <v>Mandatory</v>
      </c>
      <c r="H130" s="791" t="s">
        <v>1441</v>
      </c>
      <c r="I130" s="937">
        <f>N(H130)</f>
        <v>0</v>
      </c>
      <c r="J130" s="938"/>
    </row>
    <row r="131" spans="2:10" x14ac:dyDescent="0.25">
      <c r="B131" s="936"/>
      <c r="C131" s="988" t="s">
        <v>1090</v>
      </c>
      <c r="D131" s="2170" t="s">
        <v>1089</v>
      </c>
      <c r="E131" s="2160"/>
      <c r="F131" s="2178"/>
      <c r="G131" s="1814" t="str">
        <f t="array" ref="G131">IFERROR(INDEX('ESDS-Lookup-Table'!$B$1:$B$469,MATCH(1,('ESDS-Lookup-Table'!$A$1:$A$469=C131)*('ESDS-Lookup-Table'!$C$1:$C$469=$D$19)*('ESDS-Lookup-Table'!$D$1:$D$469=$D$21),0)),"Select Region and Activity")</f>
        <v>0 or 7</v>
      </c>
      <c r="H131" s="791">
        <v>0</v>
      </c>
      <c r="I131" s="937">
        <f>N(H131)</f>
        <v>0</v>
      </c>
      <c r="J131" s="938"/>
    </row>
    <row r="132" spans="2:10" x14ac:dyDescent="0.25">
      <c r="B132" s="936"/>
      <c r="C132" s="990" t="s">
        <v>1088</v>
      </c>
      <c r="D132" s="2171" t="s">
        <v>1087</v>
      </c>
      <c r="E132" s="2165"/>
      <c r="F132" s="2189"/>
      <c r="G132" s="821" t="str">
        <f t="array" ref="G132">IFERROR(INDEX('ESDS-Lookup-Table'!$B$1:$B$469,MATCH(1,('ESDS-Lookup-Table'!$A$1:$A$469=C132)*('ESDS-Lookup-Table'!$C$1:$C$469=$D$19)*('ESDS-Lookup-Table'!$D$1:$D$469=$D$21),0)),"Select Region and Activity")</f>
        <v>0 or 2</v>
      </c>
      <c r="H132" s="791">
        <v>2</v>
      </c>
      <c r="I132" s="937">
        <f>N(H132)</f>
        <v>2</v>
      </c>
      <c r="J132" s="938"/>
    </row>
    <row r="133" spans="2:10" x14ac:dyDescent="0.25">
      <c r="B133" s="936"/>
      <c r="C133" s="959"/>
      <c r="D133" s="960"/>
      <c r="E133" s="961"/>
      <c r="F133" s="961"/>
      <c r="G133" s="962" t="s">
        <v>1086</v>
      </c>
      <c r="H133" s="963">
        <f>SUM(I128:I132)</f>
        <v>2</v>
      </c>
      <c r="I133" s="937"/>
      <c r="J133" s="938"/>
    </row>
    <row r="134" spans="2:10" ht="15.75" thickBot="1" x14ac:dyDescent="0.3">
      <c r="B134" s="936"/>
      <c r="C134" s="937"/>
      <c r="D134" s="937"/>
      <c r="E134" s="937"/>
      <c r="F134" s="937"/>
      <c r="G134" s="937"/>
      <c r="H134" s="937"/>
      <c r="I134" s="937"/>
      <c r="J134" s="938"/>
    </row>
    <row r="135" spans="2:10" x14ac:dyDescent="0.25">
      <c r="B135" s="936"/>
      <c r="C135" s="937"/>
      <c r="D135" s="937"/>
      <c r="E135" s="937"/>
      <c r="F135" s="937"/>
      <c r="G135" s="1002" t="s">
        <v>1085</v>
      </c>
      <c r="H135" s="1003">
        <f>H27</f>
        <v>0</v>
      </c>
      <c r="I135" s="937"/>
      <c r="J135" s="938"/>
    </row>
    <row r="136" spans="2:10" x14ac:dyDescent="0.25">
      <c r="B136" s="936"/>
      <c r="C136" s="937"/>
      <c r="D136" s="937"/>
      <c r="E136" s="937"/>
      <c r="F136" s="937"/>
      <c r="G136" s="1004" t="s">
        <v>1084</v>
      </c>
      <c r="H136" s="1005">
        <f>H42</f>
        <v>16</v>
      </c>
      <c r="I136" s="937"/>
      <c r="J136" s="938"/>
    </row>
    <row r="137" spans="2:10" x14ac:dyDescent="0.25">
      <c r="B137" s="936"/>
      <c r="C137" s="937"/>
      <c r="D137" s="937"/>
      <c r="E137" s="937"/>
      <c r="F137" s="937"/>
      <c r="G137" s="1004" t="s">
        <v>1083</v>
      </c>
      <c r="H137" s="1005">
        <f>H54</f>
        <v>9</v>
      </c>
      <c r="I137" s="937"/>
      <c r="J137" s="938"/>
    </row>
    <row r="138" spans="2:10" x14ac:dyDescent="0.25">
      <c r="B138" s="936"/>
      <c r="C138" s="937"/>
      <c r="D138" s="937"/>
      <c r="E138" s="937"/>
      <c r="F138" s="937"/>
      <c r="G138" s="1004" t="s">
        <v>1082</v>
      </c>
      <c r="H138" s="1005">
        <f>H61</f>
        <v>5</v>
      </c>
      <c r="I138" s="937"/>
      <c r="J138" s="938"/>
    </row>
    <row r="139" spans="2:10" x14ac:dyDescent="0.25">
      <c r="B139" s="936"/>
      <c r="C139" s="937"/>
      <c r="D139" s="937"/>
      <c r="E139" s="937"/>
      <c r="F139" s="937"/>
      <c r="G139" s="1004" t="s">
        <v>1081</v>
      </c>
      <c r="H139" s="1005">
        <f>H84</f>
        <v>8</v>
      </c>
      <c r="I139" s="937"/>
      <c r="J139" s="938"/>
    </row>
    <row r="140" spans="2:10" x14ac:dyDescent="0.25">
      <c r="B140" s="936"/>
      <c r="C140" s="937"/>
      <c r="D140" s="937"/>
      <c r="E140" s="937"/>
      <c r="F140" s="937"/>
      <c r="G140" s="1004" t="s">
        <v>1080</v>
      </c>
      <c r="H140" s="1005">
        <f>H97</f>
        <v>9</v>
      </c>
      <c r="I140" s="937"/>
      <c r="J140" s="938"/>
    </row>
    <row r="141" spans="2:10" x14ac:dyDescent="0.25">
      <c r="B141" s="936"/>
      <c r="C141" s="937"/>
      <c r="D141" s="937"/>
      <c r="E141" s="937"/>
      <c r="F141" s="937"/>
      <c r="G141" s="1004" t="s">
        <v>1079</v>
      </c>
      <c r="H141" s="1005">
        <f>H124</f>
        <v>15</v>
      </c>
      <c r="I141" s="937"/>
      <c r="J141" s="938"/>
    </row>
    <row r="142" spans="2:10" ht="15.75" thickBot="1" x14ac:dyDescent="0.3">
      <c r="B142" s="936"/>
      <c r="C142" s="937"/>
      <c r="D142" s="937"/>
      <c r="E142" s="937"/>
      <c r="F142" s="937"/>
      <c r="G142" s="1006" t="s">
        <v>1078</v>
      </c>
      <c r="H142" s="1007">
        <f>H133</f>
        <v>2</v>
      </c>
      <c r="I142" s="937"/>
      <c r="J142" s="938"/>
    </row>
    <row r="143" spans="2:10" ht="16.5" thickTop="1" thickBot="1" x14ac:dyDescent="0.3">
      <c r="B143" s="936"/>
      <c r="C143" s="937"/>
      <c r="D143" s="937"/>
      <c r="E143" s="937"/>
      <c r="F143" s="937"/>
      <c r="G143" s="1008" t="s">
        <v>1077</v>
      </c>
      <c r="H143" s="1009">
        <f>SUM(H135:H142)</f>
        <v>64</v>
      </c>
      <c r="I143" s="937"/>
      <c r="J143" s="938"/>
    </row>
    <row r="144" spans="2:10" ht="9" customHeight="1" thickBot="1" x14ac:dyDescent="0.3">
      <c r="B144" s="992"/>
      <c r="C144" s="994"/>
      <c r="D144" s="994"/>
      <c r="E144" s="994"/>
      <c r="F144" s="994"/>
      <c r="G144" s="994"/>
      <c r="H144" s="994"/>
      <c r="I144" s="994"/>
      <c r="J144" s="996"/>
    </row>
  </sheetData>
  <sheetProtection password="9F6B" sheet="1" objects="1" scenarios="1" formatCells="0" formatColumns="0" formatRows="0"/>
  <dataConsolidate/>
  <mergeCells count="81">
    <mergeCell ref="D131:F131"/>
    <mergeCell ref="D132:F132"/>
    <mergeCell ref="D17:F17"/>
    <mergeCell ref="D121:F121"/>
    <mergeCell ref="D122:F122"/>
    <mergeCell ref="D123:F123"/>
    <mergeCell ref="D128:F128"/>
    <mergeCell ref="D129:F129"/>
    <mergeCell ref="D130:F130"/>
    <mergeCell ref="D115:F115"/>
    <mergeCell ref="D116:F116"/>
    <mergeCell ref="D117:F117"/>
    <mergeCell ref="D118:F118"/>
    <mergeCell ref="D119:F119"/>
    <mergeCell ref="D120:F120"/>
    <mergeCell ref="D109:F109"/>
    <mergeCell ref="D110:F110"/>
    <mergeCell ref="D111:F111"/>
    <mergeCell ref="D112:F112"/>
    <mergeCell ref="D113:F113"/>
    <mergeCell ref="D114:F114"/>
    <mergeCell ref="D108:F108"/>
    <mergeCell ref="D92:F92"/>
    <mergeCell ref="D93:F93"/>
    <mergeCell ref="D94:F94"/>
    <mergeCell ref="D95:F95"/>
    <mergeCell ref="D96:F96"/>
    <mergeCell ref="D102:F102"/>
    <mergeCell ref="D103:F103"/>
    <mergeCell ref="D104:F104"/>
    <mergeCell ref="D105:F105"/>
    <mergeCell ref="D106:F106"/>
    <mergeCell ref="D107:F107"/>
    <mergeCell ref="D91:F91"/>
    <mergeCell ref="D76:F76"/>
    <mergeCell ref="D77:F77"/>
    <mergeCell ref="D78:F78"/>
    <mergeCell ref="D79:F79"/>
    <mergeCell ref="D80:F80"/>
    <mergeCell ref="D81:F81"/>
    <mergeCell ref="D82:F82"/>
    <mergeCell ref="D83:F83"/>
    <mergeCell ref="D88:F88"/>
    <mergeCell ref="D89:F89"/>
    <mergeCell ref="D90:F90"/>
    <mergeCell ref="D75:F75"/>
    <mergeCell ref="D59:F59"/>
    <mergeCell ref="D60:F60"/>
    <mergeCell ref="D66:F66"/>
    <mergeCell ref="D67:F67"/>
    <mergeCell ref="D68:F68"/>
    <mergeCell ref="D69:F69"/>
    <mergeCell ref="D70:F70"/>
    <mergeCell ref="D71:F71"/>
    <mergeCell ref="D72:F72"/>
    <mergeCell ref="D73:F73"/>
    <mergeCell ref="D74:F74"/>
    <mergeCell ref="D58:F58"/>
    <mergeCell ref="D39:F39"/>
    <mergeCell ref="D40:F40"/>
    <mergeCell ref="D41:F41"/>
    <mergeCell ref="D46:F46"/>
    <mergeCell ref="D47:F47"/>
    <mergeCell ref="D48:F48"/>
    <mergeCell ref="D49:F49"/>
    <mergeCell ref="D50:F50"/>
    <mergeCell ref="D51:F51"/>
    <mergeCell ref="D52:F52"/>
    <mergeCell ref="D53:F53"/>
    <mergeCell ref="D38:F38"/>
    <mergeCell ref="C13:H13"/>
    <mergeCell ref="D15:F15"/>
    <mergeCell ref="D25:F25"/>
    <mergeCell ref="D26:F26"/>
    <mergeCell ref="D31:F31"/>
    <mergeCell ref="D32:F32"/>
    <mergeCell ref="D33:F33"/>
    <mergeCell ref="D34:F34"/>
    <mergeCell ref="D35:F35"/>
    <mergeCell ref="D36:F36"/>
    <mergeCell ref="D37:F37"/>
  </mergeCells>
  <conditionalFormatting sqref="E22">
    <cfRule type="expression" dxfId="39" priority="18">
      <formula>$D$21&lt;&gt;"Rehab"</formula>
    </cfRule>
  </conditionalFormatting>
  <conditionalFormatting sqref="F22">
    <cfRule type="expression" dxfId="38" priority="17">
      <formula>$D$21&lt;&gt;"Rehab"</formula>
    </cfRule>
  </conditionalFormatting>
  <conditionalFormatting sqref="H21">
    <cfRule type="expression" dxfId="37" priority="16">
      <formula>$H$21&lt;&gt;""</formula>
    </cfRule>
  </conditionalFormatting>
  <conditionalFormatting sqref="D19:H19">
    <cfRule type="expression" dxfId="36" priority="14">
      <formula>$D$19="Rural"</formula>
    </cfRule>
    <cfRule type="expression" dxfId="35" priority="15">
      <formula>$D$19="Urban"</formula>
    </cfRule>
  </conditionalFormatting>
  <conditionalFormatting sqref="H25:H26">
    <cfRule type="expression" dxfId="34" priority="13">
      <formula>G25="n/a"</formula>
    </cfRule>
  </conditionalFormatting>
  <conditionalFormatting sqref="H31:H41">
    <cfRule type="expression" dxfId="33" priority="12">
      <formula>G31="n/a"</formula>
    </cfRule>
  </conditionalFormatting>
  <conditionalFormatting sqref="H46:H53">
    <cfRule type="expression" dxfId="32" priority="11">
      <formula>G46="n/a"</formula>
    </cfRule>
  </conditionalFormatting>
  <conditionalFormatting sqref="H58:H60">
    <cfRule type="expression" dxfId="31" priority="10">
      <formula>G58="n/a"</formula>
    </cfRule>
  </conditionalFormatting>
  <conditionalFormatting sqref="H88:H96">
    <cfRule type="expression" dxfId="30" priority="9">
      <formula>G88="n/a"</formula>
    </cfRule>
  </conditionalFormatting>
  <conditionalFormatting sqref="H102:H123">
    <cfRule type="expression" dxfId="29" priority="8">
      <formula>G102="n/a"</formula>
    </cfRule>
  </conditionalFormatting>
  <conditionalFormatting sqref="H128:H132">
    <cfRule type="expression" dxfId="28" priority="7">
      <formula>G128="n/a"</formula>
    </cfRule>
  </conditionalFormatting>
  <conditionalFormatting sqref="H76">
    <cfRule type="expression" dxfId="27" priority="6">
      <formula>$H$68&gt;0</formula>
    </cfRule>
  </conditionalFormatting>
  <conditionalFormatting sqref="H78">
    <cfRule type="expression" dxfId="26" priority="5">
      <formula>$H$68&gt;0</formula>
    </cfRule>
  </conditionalFormatting>
  <conditionalFormatting sqref="H80">
    <cfRule type="expression" dxfId="25" priority="4">
      <formula>$H$68&gt;0</formula>
    </cfRule>
  </conditionalFormatting>
  <conditionalFormatting sqref="H81">
    <cfRule type="expression" dxfId="24" priority="3">
      <formula>$H$69&gt;0</formula>
    </cfRule>
  </conditionalFormatting>
  <conditionalFormatting sqref="H82">
    <cfRule type="expression" dxfId="23" priority="2">
      <formula>$H$69&gt;0</formula>
    </cfRule>
  </conditionalFormatting>
  <conditionalFormatting sqref="H83">
    <cfRule type="expression" dxfId="22" priority="1">
      <formula>$H$69&gt;0</formula>
    </cfRule>
  </conditionalFormatting>
  <dataValidations count="6">
    <dataValidation type="date" operator="greaterThan" allowBlank="1" showInputMessage="1" showErrorMessage="1" errorTitle="Incorrect Date/Format" error="Please enter a date in the format mm/dd/yyyy." sqref="C16:D16 F16:G16 C18:D18 F18:G18">
      <formula1>39630</formula1>
    </dataValidation>
    <dataValidation type="list" allowBlank="1" showInputMessage="1" showErrorMessage="1" sqref="D19:D20">
      <formula1>"Select…,Urban,Rural"</formula1>
    </dataValidation>
    <dataValidation type="list" allowBlank="1" showInputMessage="1" showErrorMessage="1" sqref="D22">
      <formula1>"Select…,New Construction,Rehab"</formula1>
    </dataValidation>
    <dataValidation type="list" allowBlank="1" showInputMessage="1" showErrorMessage="1" sqref="F22">
      <formula1>"Select…,Moderate,Substantial"</formula1>
    </dataValidation>
    <dataValidation type="list" allowBlank="1" showInputMessage="1" showErrorMessage="1" sqref="H25 H31 H33 H46:H48 H51 H53 H58 H70:H71 H73 H79 H88:H89 H102:H103 H109:H112 H114:H118 H120:H122 H128:H130">
      <formula1>"X,n/a"</formula1>
    </dataValidation>
    <dataValidation type="list" allowBlank="1" showInputMessage="1" showErrorMessage="1" sqref="D21">
      <formula1>"Select…,New Construction,Rehab - Mod,Rehab - Subs"</formula1>
    </dataValidation>
  </dataValidations>
  <printOptions horizontalCentered="1"/>
  <pageMargins left="0.7" right="0.7" top="0.75" bottom="0.75" header="0.3" footer="0.3"/>
  <pageSetup scale="67" fitToHeight="2" orientation="portrait" r:id="rId1"/>
  <headerFooter>
    <oddFooter>&amp;LForm 2C(b)
Evergreen Standard Checklist
(ESDS v2.2)&amp;CCFA Forms&amp;REdition: 2015
Version: 1.0</oddFooter>
  </headerFooter>
  <rowBreaks count="1" manualBreakCount="1">
    <brk id="85" min="1"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I46"/>
  <sheetViews>
    <sheetView showGridLines="0" zoomScaleNormal="100" workbookViewId="0">
      <selection activeCell="C20" sqref="C20:D20"/>
    </sheetView>
  </sheetViews>
  <sheetFormatPr defaultRowHeight="15" x14ac:dyDescent="0.25"/>
  <cols>
    <col min="1" max="2" width="1.7109375" style="838" customWidth="1"/>
    <col min="3" max="3" width="14.28515625" style="838" customWidth="1"/>
    <col min="4" max="4" width="22.5703125" style="838" customWidth="1"/>
    <col min="5" max="5" width="11" style="838" customWidth="1"/>
    <col min="6" max="6" width="18.42578125" style="838" bestFit="1" customWidth="1"/>
    <col min="7" max="7" width="6.7109375" style="838" bestFit="1" customWidth="1"/>
    <col min="8" max="8" width="12.7109375" style="838" bestFit="1" customWidth="1"/>
    <col min="9" max="9" width="1.7109375" style="838" customWidth="1"/>
    <col min="10" max="16384" width="9.140625" style="838"/>
  </cols>
  <sheetData>
    <row r="10" spans="2:9" ht="9" customHeight="1" thickBot="1" x14ac:dyDescent="0.3"/>
    <row r="11" spans="2:9" ht="9" customHeight="1" x14ac:dyDescent="0.25">
      <c r="B11" s="1020"/>
      <c r="C11" s="1021"/>
      <c r="D11" s="1021"/>
      <c r="E11" s="1021"/>
      <c r="F11" s="1021"/>
      <c r="G11" s="1021"/>
      <c r="H11" s="1021"/>
      <c r="I11" s="1022"/>
    </row>
    <row r="12" spans="2:9" ht="18.75" x14ac:dyDescent="0.3">
      <c r="B12" s="1023"/>
      <c r="C12" s="2106" t="s">
        <v>1390</v>
      </c>
      <c r="D12" s="2106"/>
      <c r="E12" s="2106"/>
      <c r="F12" s="2106"/>
      <c r="G12" s="2106"/>
      <c r="H12" s="2106"/>
      <c r="I12" s="1024"/>
    </row>
    <row r="13" spans="2:9" x14ac:dyDescent="0.25">
      <c r="B13" s="1023"/>
      <c r="C13" s="1025"/>
      <c r="D13" s="897"/>
      <c r="E13" s="897"/>
      <c r="F13" s="897"/>
      <c r="G13" s="897"/>
      <c r="H13" s="897"/>
      <c r="I13" s="1024"/>
    </row>
    <row r="14" spans="2:9" x14ac:dyDescent="0.25">
      <c r="B14" s="1023"/>
      <c r="C14" s="271" t="s">
        <v>1</v>
      </c>
      <c r="D14" s="1026" t="str">
        <f>IF('1A'!G5="","Enter Project Name on Form 1A",'1A'!G5)</f>
        <v>University District Apartments</v>
      </c>
      <c r="E14" s="924"/>
      <c r="F14" s="1026"/>
      <c r="G14" s="898"/>
      <c r="H14" s="898"/>
      <c r="I14" s="1024"/>
    </row>
    <row r="15" spans="2:9" ht="3.75" customHeight="1" x14ac:dyDescent="0.25">
      <c r="B15" s="1023"/>
      <c r="C15" s="1025"/>
      <c r="D15" s="897"/>
      <c r="E15" s="897"/>
      <c r="F15" s="897"/>
      <c r="G15" s="897"/>
      <c r="H15" s="897"/>
      <c r="I15" s="1024"/>
    </row>
    <row r="16" spans="2:9" x14ac:dyDescent="0.25">
      <c r="B16" s="1023"/>
      <c r="C16" s="271" t="s">
        <v>1397</v>
      </c>
      <c r="D16" s="1821" t="str">
        <f>IF('1A'!G29="","Enter Site Name on Form 1A",'1A'!G29)</f>
        <v>Project A-  4%</v>
      </c>
      <c r="E16" s="924"/>
      <c r="F16" s="1821"/>
      <c r="G16" s="898"/>
      <c r="H16" s="898"/>
      <c r="I16" s="1024"/>
    </row>
    <row r="17" spans="2:9" ht="7.5" customHeight="1" thickBot="1" x14ac:dyDescent="0.3">
      <c r="B17" s="1023"/>
      <c r="C17" s="1025"/>
      <c r="D17" s="897"/>
      <c r="E17" s="897"/>
      <c r="F17" s="897"/>
      <c r="G17" s="897"/>
      <c r="H17" s="897"/>
      <c r="I17" s="1024"/>
    </row>
    <row r="18" spans="2:9" ht="30" x14ac:dyDescent="0.25">
      <c r="B18" s="1027"/>
      <c r="C18" s="2196" t="s">
        <v>75</v>
      </c>
      <c r="D18" s="2197"/>
      <c r="E18" s="1028" t="s">
        <v>76</v>
      </c>
      <c r="F18" s="1029" t="s">
        <v>77</v>
      </c>
      <c r="G18" s="1028" t="s">
        <v>78</v>
      </c>
      <c r="H18" s="1030" t="s">
        <v>79</v>
      </c>
      <c r="I18" s="1031"/>
    </row>
    <row r="19" spans="2:9" x14ac:dyDescent="0.25">
      <c r="B19" s="1023"/>
      <c r="C19" s="2211" t="s">
        <v>712</v>
      </c>
      <c r="D19" s="2212"/>
      <c r="E19" s="1010" t="s">
        <v>1438</v>
      </c>
      <c r="F19" s="1011" t="s">
        <v>1439</v>
      </c>
      <c r="G19" s="1012" t="s">
        <v>283</v>
      </c>
      <c r="H19" s="1013">
        <v>80</v>
      </c>
      <c r="I19" s="1024"/>
    </row>
    <row r="20" spans="2:9" x14ac:dyDescent="0.25">
      <c r="B20" s="1023"/>
      <c r="C20" s="2207"/>
      <c r="D20" s="2208"/>
      <c r="E20" s="1014"/>
      <c r="F20" s="1015"/>
      <c r="G20" s="1014"/>
      <c r="H20" s="1016"/>
      <c r="I20" s="1024"/>
    </row>
    <row r="21" spans="2:9" x14ac:dyDescent="0.25">
      <c r="B21" s="1023"/>
      <c r="C21" s="2213"/>
      <c r="D21" s="2208"/>
      <c r="E21" s="2004"/>
      <c r="F21" s="1015"/>
      <c r="G21" s="1014"/>
      <c r="H21" s="1016"/>
      <c r="I21" s="1024"/>
    </row>
    <row r="22" spans="2:9" x14ac:dyDescent="0.25">
      <c r="B22" s="1023"/>
      <c r="C22" s="2207"/>
      <c r="D22" s="2208"/>
      <c r="E22" s="1014"/>
      <c r="F22" s="1015"/>
      <c r="G22" s="1014"/>
      <c r="H22" s="1016"/>
      <c r="I22" s="1024"/>
    </row>
    <row r="23" spans="2:9" x14ac:dyDescent="0.25">
      <c r="B23" s="1023"/>
      <c r="C23" s="2207"/>
      <c r="D23" s="2208"/>
      <c r="E23" s="1014"/>
      <c r="F23" s="1015"/>
      <c r="G23" s="1014"/>
      <c r="H23" s="1016"/>
      <c r="I23" s="1024"/>
    </row>
    <row r="24" spans="2:9" x14ac:dyDescent="0.25">
      <c r="B24" s="1023"/>
      <c r="C24" s="2207"/>
      <c r="D24" s="2208"/>
      <c r="E24" s="1014"/>
      <c r="F24" s="1015"/>
      <c r="G24" s="1014"/>
      <c r="H24" s="1016"/>
      <c r="I24" s="1024"/>
    </row>
    <row r="25" spans="2:9" x14ac:dyDescent="0.25">
      <c r="B25" s="1023"/>
      <c r="C25" s="2207"/>
      <c r="D25" s="2208"/>
      <c r="E25" s="1014"/>
      <c r="F25" s="1015"/>
      <c r="G25" s="1014"/>
      <c r="H25" s="1016"/>
      <c r="I25" s="1024"/>
    </row>
    <row r="26" spans="2:9" x14ac:dyDescent="0.25">
      <c r="B26" s="1023"/>
      <c r="C26" s="2207"/>
      <c r="D26" s="2208"/>
      <c r="E26" s="1014"/>
      <c r="F26" s="1015"/>
      <c r="G26" s="1014"/>
      <c r="H26" s="1016"/>
      <c r="I26" s="1024"/>
    </row>
    <row r="27" spans="2:9" x14ac:dyDescent="0.25">
      <c r="B27" s="1023"/>
      <c r="C27" s="2207"/>
      <c r="D27" s="2208"/>
      <c r="E27" s="1014"/>
      <c r="F27" s="1015"/>
      <c r="G27" s="1014"/>
      <c r="H27" s="1016"/>
      <c r="I27" s="1024"/>
    </row>
    <row r="28" spans="2:9" x14ac:dyDescent="0.25">
      <c r="B28" s="1023"/>
      <c r="C28" s="2207"/>
      <c r="D28" s="2208"/>
      <c r="E28" s="1014"/>
      <c r="F28" s="1015"/>
      <c r="G28" s="1014"/>
      <c r="H28" s="1016"/>
      <c r="I28" s="1024"/>
    </row>
    <row r="29" spans="2:9" x14ac:dyDescent="0.25">
      <c r="B29" s="1023"/>
      <c r="C29" s="2207"/>
      <c r="D29" s="2208"/>
      <c r="E29" s="1014"/>
      <c r="F29" s="1015"/>
      <c r="G29" s="1014"/>
      <c r="H29" s="1016"/>
      <c r="I29" s="1024"/>
    </row>
    <row r="30" spans="2:9" ht="15.75" thickBot="1" x14ac:dyDescent="0.3">
      <c r="B30" s="1023"/>
      <c r="C30" s="2209"/>
      <c r="D30" s="2210"/>
      <c r="E30" s="1017"/>
      <c r="F30" s="1018"/>
      <c r="G30" s="1017"/>
      <c r="H30" s="1019"/>
      <c r="I30" s="1024"/>
    </row>
    <row r="31" spans="2:9" ht="16.5" thickTop="1" thickBot="1" x14ac:dyDescent="0.3">
      <c r="B31" s="1023"/>
      <c r="C31" s="897"/>
      <c r="D31" s="897"/>
      <c r="E31" s="897"/>
      <c r="F31" s="897"/>
      <c r="G31" s="1032" t="str">
        <f>IF(H31&gt;'1B - 4%'!L23,"WARNING: Units duplicated. Please ensure Total Units matches Form 1B","")</f>
        <v/>
      </c>
      <c r="H31" s="1037">
        <f>SUM(H19:H30)</f>
        <v>80</v>
      </c>
      <c r="I31" s="1024"/>
    </row>
    <row r="32" spans="2:9" ht="15.75" thickTop="1" x14ac:dyDescent="0.25">
      <c r="B32" s="1023"/>
      <c r="C32" s="1033" t="s">
        <v>80</v>
      </c>
      <c r="D32" s="897"/>
      <c r="E32" s="897"/>
      <c r="F32" s="897"/>
      <c r="G32" s="897"/>
      <c r="H32" s="897"/>
      <c r="I32" s="1024"/>
    </row>
    <row r="33" spans="2:9" x14ac:dyDescent="0.25">
      <c r="B33" s="1023"/>
      <c r="C33" s="2198" t="s">
        <v>1656</v>
      </c>
      <c r="D33" s="2199"/>
      <c r="E33" s="2199"/>
      <c r="F33" s="2199"/>
      <c r="G33" s="2199"/>
      <c r="H33" s="2200"/>
      <c r="I33" s="1024"/>
    </row>
    <row r="34" spans="2:9" x14ac:dyDescent="0.25">
      <c r="B34" s="1023"/>
      <c r="C34" s="2201"/>
      <c r="D34" s="2202"/>
      <c r="E34" s="2202"/>
      <c r="F34" s="2202"/>
      <c r="G34" s="2202"/>
      <c r="H34" s="2203"/>
      <c r="I34" s="1024"/>
    </row>
    <row r="35" spans="2:9" x14ac:dyDescent="0.25">
      <c r="B35" s="1023"/>
      <c r="C35" s="2201"/>
      <c r="D35" s="2202"/>
      <c r="E35" s="2202"/>
      <c r="F35" s="2202"/>
      <c r="G35" s="2202"/>
      <c r="H35" s="2203"/>
      <c r="I35" s="1024"/>
    </row>
    <row r="36" spans="2:9" x14ac:dyDescent="0.25">
      <c r="B36" s="1023"/>
      <c r="C36" s="2201"/>
      <c r="D36" s="2202"/>
      <c r="E36" s="2202"/>
      <c r="F36" s="2202"/>
      <c r="G36" s="2202"/>
      <c r="H36" s="2203"/>
      <c r="I36" s="1024"/>
    </row>
    <row r="37" spans="2:9" x14ac:dyDescent="0.25">
      <c r="B37" s="1023"/>
      <c r="C37" s="2201"/>
      <c r="D37" s="2202"/>
      <c r="E37" s="2202"/>
      <c r="F37" s="2202"/>
      <c r="G37" s="2202"/>
      <c r="H37" s="2203"/>
      <c r="I37" s="1024"/>
    </row>
    <row r="38" spans="2:9" x14ac:dyDescent="0.25">
      <c r="B38" s="1023"/>
      <c r="C38" s="2201"/>
      <c r="D38" s="2202"/>
      <c r="E38" s="2202"/>
      <c r="F38" s="2202"/>
      <c r="G38" s="2202"/>
      <c r="H38" s="2203"/>
      <c r="I38" s="1024"/>
    </row>
    <row r="39" spans="2:9" x14ac:dyDescent="0.25">
      <c r="B39" s="1023"/>
      <c r="C39" s="2201"/>
      <c r="D39" s="2202"/>
      <c r="E39" s="2202"/>
      <c r="F39" s="2202"/>
      <c r="G39" s="2202"/>
      <c r="H39" s="2203"/>
      <c r="I39" s="1024"/>
    </row>
    <row r="40" spans="2:9" x14ac:dyDescent="0.25">
      <c r="B40" s="1023"/>
      <c r="C40" s="2201"/>
      <c r="D40" s="2202"/>
      <c r="E40" s="2202"/>
      <c r="F40" s="2202"/>
      <c r="G40" s="2202"/>
      <c r="H40" s="2203"/>
      <c r="I40" s="1024"/>
    </row>
    <row r="41" spans="2:9" x14ac:dyDescent="0.25">
      <c r="B41" s="1023"/>
      <c r="C41" s="2201"/>
      <c r="D41" s="2202"/>
      <c r="E41" s="2202"/>
      <c r="F41" s="2202"/>
      <c r="G41" s="2202"/>
      <c r="H41" s="2203"/>
      <c r="I41" s="1024"/>
    </row>
    <row r="42" spans="2:9" x14ac:dyDescent="0.25">
      <c r="B42" s="1023"/>
      <c r="C42" s="2201"/>
      <c r="D42" s="2202"/>
      <c r="E42" s="2202"/>
      <c r="F42" s="2202"/>
      <c r="G42" s="2202"/>
      <c r="H42" s="2203"/>
      <c r="I42" s="1024"/>
    </row>
    <row r="43" spans="2:9" x14ac:dyDescent="0.25">
      <c r="B43" s="1023"/>
      <c r="C43" s="2201"/>
      <c r="D43" s="2202"/>
      <c r="E43" s="2202"/>
      <c r="F43" s="2202"/>
      <c r="G43" s="2202"/>
      <c r="H43" s="2203"/>
      <c r="I43" s="1024"/>
    </row>
    <row r="44" spans="2:9" x14ac:dyDescent="0.25">
      <c r="B44" s="1023"/>
      <c r="C44" s="2201"/>
      <c r="D44" s="2202"/>
      <c r="E44" s="2202"/>
      <c r="F44" s="2202"/>
      <c r="G44" s="2202"/>
      <c r="H44" s="2203"/>
      <c r="I44" s="1024"/>
    </row>
    <row r="45" spans="2:9" x14ac:dyDescent="0.25">
      <c r="B45" s="1023"/>
      <c r="C45" s="2204"/>
      <c r="D45" s="2205"/>
      <c r="E45" s="2205"/>
      <c r="F45" s="2205"/>
      <c r="G45" s="2205"/>
      <c r="H45" s="2206"/>
      <c r="I45" s="1024"/>
    </row>
    <row r="46" spans="2:9" ht="9" customHeight="1" thickBot="1" x14ac:dyDescent="0.3">
      <c r="B46" s="1034"/>
      <c r="C46" s="1035"/>
      <c r="D46" s="1035"/>
      <c r="E46" s="1035"/>
      <c r="F46" s="1035"/>
      <c r="G46" s="1035"/>
      <c r="H46" s="1035"/>
      <c r="I46" s="1036"/>
    </row>
  </sheetData>
  <sheetProtection password="9F6B" sheet="1" objects="1" scenarios="1" formatCells="0" formatColumns="0" formatRows="0"/>
  <mergeCells count="15">
    <mergeCell ref="C12:H12"/>
    <mergeCell ref="C18:D18"/>
    <mergeCell ref="C33:H45"/>
    <mergeCell ref="C26:D26"/>
    <mergeCell ref="C30:D30"/>
    <mergeCell ref="C27:D27"/>
    <mergeCell ref="C28:D28"/>
    <mergeCell ref="C29:D29"/>
    <mergeCell ref="C23:D23"/>
    <mergeCell ref="C24:D24"/>
    <mergeCell ref="C25:D25"/>
    <mergeCell ref="C22:D22"/>
    <mergeCell ref="C19:D19"/>
    <mergeCell ref="C20:D20"/>
    <mergeCell ref="C21:D21"/>
  </mergeCells>
  <dataValidations count="4">
    <dataValidation type="list" allowBlank="1" showInputMessage="1" showErrorMessage="1" sqref="F19:F30">
      <formula1>"Shelter,Transitional,Permanent Supportive,Multifamily Rental,Homeownership"</formula1>
    </dataValidation>
    <dataValidation type="list" allowBlank="1" showInputMessage="1" showErrorMessage="1" sqref="C19:D30">
      <formula1>Population_Types</formula1>
    </dataValidation>
    <dataValidation type="list" allowBlank="1" showInputMessage="1" showErrorMessage="1" sqref="G19:G30">
      <formula1>"Unit,Bed"</formula1>
    </dataValidation>
    <dataValidation type="list" allowBlank="1" showInputMessage="1" showErrorMessage="1" sqref="E19:E30">
      <formula1>"Yes,No"</formula1>
    </dataValidation>
  </dataValidations>
  <pageMargins left="0.7" right="0.7" top="0.75" bottom="0.75" header="0.3" footer="0.3"/>
  <pageSetup orientation="portrait" r:id="rId1"/>
  <headerFooter>
    <oddFooter>&amp;LForm 3(a)
Populations to be Served&amp;CCFA Forms&amp;REdition: 2015
Version: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I46"/>
  <sheetViews>
    <sheetView showGridLines="0" zoomScaleNormal="100" workbookViewId="0">
      <selection activeCell="C46" sqref="C46"/>
    </sheetView>
  </sheetViews>
  <sheetFormatPr defaultRowHeight="15" x14ac:dyDescent="0.25"/>
  <cols>
    <col min="1" max="2" width="1.7109375" style="838" customWidth="1"/>
    <col min="3" max="3" width="14.28515625" style="838" customWidth="1"/>
    <col min="4" max="4" width="22.5703125" style="838" customWidth="1"/>
    <col min="5" max="5" width="11" style="838" customWidth="1"/>
    <col min="6" max="6" width="18.42578125" style="838" bestFit="1" customWidth="1"/>
    <col min="7" max="7" width="6.7109375" style="838" bestFit="1" customWidth="1"/>
    <col min="8" max="8" width="12.7109375" style="838" bestFit="1" customWidth="1"/>
    <col min="9" max="9" width="1.7109375" style="838" customWidth="1"/>
    <col min="10" max="16384" width="9.140625" style="838"/>
  </cols>
  <sheetData>
    <row r="10" spans="2:9" ht="9" customHeight="1" thickBot="1" x14ac:dyDescent="0.3"/>
    <row r="11" spans="2:9" ht="9" customHeight="1" x14ac:dyDescent="0.25">
      <c r="B11" s="1020"/>
      <c r="C11" s="1021"/>
      <c r="D11" s="1021"/>
      <c r="E11" s="1021"/>
      <c r="F11" s="1021"/>
      <c r="G11" s="1021"/>
      <c r="H11" s="1021"/>
      <c r="I11" s="1022"/>
    </row>
    <row r="12" spans="2:9" ht="18.75" x14ac:dyDescent="0.3">
      <c r="B12" s="1023"/>
      <c r="C12" s="2130" t="s">
        <v>1391</v>
      </c>
      <c r="D12" s="2130"/>
      <c r="E12" s="2130"/>
      <c r="F12" s="2130"/>
      <c r="G12" s="2130"/>
      <c r="H12" s="2130"/>
      <c r="I12" s="1024"/>
    </row>
    <row r="13" spans="2:9" x14ac:dyDescent="0.25">
      <c r="B13" s="1023"/>
      <c r="C13" s="1025"/>
      <c r="D13" s="897"/>
      <c r="E13" s="897"/>
      <c r="F13" s="897"/>
      <c r="G13" s="897"/>
      <c r="H13" s="897"/>
      <c r="I13" s="1024"/>
    </row>
    <row r="14" spans="2:9" x14ac:dyDescent="0.25">
      <c r="B14" s="1023"/>
      <c r="C14" s="271" t="s">
        <v>1</v>
      </c>
      <c r="D14" s="1821" t="str">
        <f>IF('1A'!G5="","Enter Project Name on Form 1A",'1A'!G5)</f>
        <v>University District Apartments</v>
      </c>
      <c r="E14" s="924"/>
      <c r="F14" s="1821"/>
      <c r="G14" s="898"/>
      <c r="H14" s="898"/>
      <c r="I14" s="1024"/>
    </row>
    <row r="15" spans="2:9" ht="3.75" customHeight="1" x14ac:dyDescent="0.25">
      <c r="B15" s="1023"/>
      <c r="C15" s="1025"/>
      <c r="D15" s="897"/>
      <c r="E15" s="897"/>
      <c r="F15" s="897"/>
      <c r="G15" s="897"/>
      <c r="H15" s="897"/>
      <c r="I15" s="1024"/>
    </row>
    <row r="16" spans="2:9" x14ac:dyDescent="0.25">
      <c r="B16" s="1023"/>
      <c r="C16" s="271" t="s">
        <v>1397</v>
      </c>
      <c r="D16" s="1821" t="str">
        <f>IF('1A'!G44="","Enter Site Name on Form 1A",'1A'!G44)</f>
        <v>Project B - 9%</v>
      </c>
      <c r="E16" s="924"/>
      <c r="F16" s="1821"/>
      <c r="G16" s="898"/>
      <c r="H16" s="898"/>
      <c r="I16" s="1024"/>
    </row>
    <row r="17" spans="2:9" ht="7.5" customHeight="1" thickBot="1" x14ac:dyDescent="0.3">
      <c r="B17" s="1023"/>
      <c r="C17" s="1025"/>
      <c r="D17" s="897"/>
      <c r="E17" s="897"/>
      <c r="F17" s="897"/>
      <c r="G17" s="897"/>
      <c r="H17" s="897"/>
      <c r="I17" s="1024"/>
    </row>
    <row r="18" spans="2:9" ht="30" x14ac:dyDescent="0.25">
      <c r="B18" s="1027"/>
      <c r="C18" s="2196" t="s">
        <v>75</v>
      </c>
      <c r="D18" s="2197"/>
      <c r="E18" s="1028" t="s">
        <v>76</v>
      </c>
      <c r="F18" s="1029" t="s">
        <v>77</v>
      </c>
      <c r="G18" s="1028" t="s">
        <v>78</v>
      </c>
      <c r="H18" s="1030" t="s">
        <v>79</v>
      </c>
      <c r="I18" s="1031"/>
    </row>
    <row r="19" spans="2:9" x14ac:dyDescent="0.25">
      <c r="B19" s="1023"/>
      <c r="C19" s="2211" t="s">
        <v>714</v>
      </c>
      <c r="D19" s="2212"/>
      <c r="E19" s="1010" t="s">
        <v>1408</v>
      </c>
      <c r="F19" s="1011" t="s">
        <v>1440</v>
      </c>
      <c r="G19" s="1012" t="s">
        <v>283</v>
      </c>
      <c r="H19" s="1013">
        <v>20</v>
      </c>
      <c r="I19" s="1024"/>
    </row>
    <row r="20" spans="2:9" x14ac:dyDescent="0.25">
      <c r="B20" s="1023"/>
      <c r="C20" s="2207" t="s">
        <v>713</v>
      </c>
      <c r="D20" s="2208"/>
      <c r="E20" s="1014" t="s">
        <v>1408</v>
      </c>
      <c r="F20" s="1015" t="s">
        <v>1440</v>
      </c>
      <c r="G20" s="1014" t="s">
        <v>283</v>
      </c>
      <c r="H20" s="1016">
        <v>20</v>
      </c>
      <c r="I20" s="1024"/>
    </row>
    <row r="21" spans="2:9" x14ac:dyDescent="0.25">
      <c r="B21" s="1023"/>
      <c r="C21" s="2207" t="s">
        <v>712</v>
      </c>
      <c r="D21" s="2208"/>
      <c r="E21" s="1014" t="s">
        <v>1438</v>
      </c>
      <c r="F21" s="1015" t="s">
        <v>1439</v>
      </c>
      <c r="G21" s="1014" t="s">
        <v>283</v>
      </c>
      <c r="H21" s="1016">
        <v>13</v>
      </c>
      <c r="I21" s="1024"/>
    </row>
    <row r="22" spans="2:9" x14ac:dyDescent="0.25">
      <c r="B22" s="1023"/>
      <c r="C22" s="2207"/>
      <c r="D22" s="2208"/>
      <c r="E22" s="1014"/>
      <c r="F22" s="1015"/>
      <c r="G22" s="1014"/>
      <c r="H22" s="1016"/>
      <c r="I22" s="1024"/>
    </row>
    <row r="23" spans="2:9" x14ac:dyDescent="0.25">
      <c r="B23" s="1023"/>
      <c r="C23" s="2207"/>
      <c r="D23" s="2208"/>
      <c r="E23" s="1014"/>
      <c r="F23" s="1015"/>
      <c r="G23" s="1014"/>
      <c r="H23" s="1016"/>
      <c r="I23" s="1024"/>
    </row>
    <row r="24" spans="2:9" x14ac:dyDescent="0.25">
      <c r="B24" s="1023"/>
      <c r="C24" s="2207"/>
      <c r="D24" s="2208"/>
      <c r="E24" s="1014"/>
      <c r="F24" s="1015"/>
      <c r="G24" s="1014"/>
      <c r="H24" s="1016"/>
      <c r="I24" s="1024"/>
    </row>
    <row r="25" spans="2:9" x14ac:dyDescent="0.25">
      <c r="B25" s="1023"/>
      <c r="C25" s="2207"/>
      <c r="D25" s="2208"/>
      <c r="E25" s="1014"/>
      <c r="F25" s="1015"/>
      <c r="G25" s="1014"/>
      <c r="H25" s="1016"/>
      <c r="I25" s="1024"/>
    </row>
    <row r="26" spans="2:9" x14ac:dyDescent="0.25">
      <c r="B26" s="1023"/>
      <c r="C26" s="2207"/>
      <c r="D26" s="2208"/>
      <c r="E26" s="1014"/>
      <c r="F26" s="1015"/>
      <c r="G26" s="1014"/>
      <c r="H26" s="1016"/>
      <c r="I26" s="1024"/>
    </row>
    <row r="27" spans="2:9" x14ac:dyDescent="0.25">
      <c r="B27" s="1023"/>
      <c r="C27" s="2207"/>
      <c r="D27" s="2208"/>
      <c r="E27" s="1014"/>
      <c r="F27" s="1015"/>
      <c r="G27" s="1014"/>
      <c r="H27" s="1016"/>
      <c r="I27" s="1024"/>
    </row>
    <row r="28" spans="2:9" x14ac:dyDescent="0.25">
      <c r="B28" s="1023"/>
      <c r="C28" s="2207"/>
      <c r="D28" s="2208"/>
      <c r="E28" s="1014"/>
      <c r="F28" s="1015"/>
      <c r="G28" s="1014"/>
      <c r="H28" s="1016"/>
      <c r="I28" s="1024"/>
    </row>
    <row r="29" spans="2:9" x14ac:dyDescent="0.25">
      <c r="B29" s="1023"/>
      <c r="C29" s="2207"/>
      <c r="D29" s="2208"/>
      <c r="E29" s="1014"/>
      <c r="F29" s="1015"/>
      <c r="G29" s="1014"/>
      <c r="H29" s="1016"/>
      <c r="I29" s="1024"/>
    </row>
    <row r="30" spans="2:9" ht="15.75" thickBot="1" x14ac:dyDescent="0.3">
      <c r="B30" s="1023"/>
      <c r="C30" s="2209"/>
      <c r="D30" s="2210"/>
      <c r="E30" s="1017"/>
      <c r="F30" s="1018"/>
      <c r="G30" s="1017"/>
      <c r="H30" s="1019"/>
      <c r="I30" s="1024"/>
    </row>
    <row r="31" spans="2:9" ht="16.5" thickTop="1" thickBot="1" x14ac:dyDescent="0.3">
      <c r="B31" s="1023"/>
      <c r="C31" s="897"/>
      <c r="D31" s="897"/>
      <c r="E31" s="897"/>
      <c r="F31" s="897"/>
      <c r="G31" s="1032" t="str">
        <f>IF(H31&gt;'1B - 9%'!L23,"WARNING: Units duplicated. Please ensure Total Units matches Form 1B","")</f>
        <v/>
      </c>
      <c r="H31" s="1037">
        <f>SUM(H19:H30)</f>
        <v>53</v>
      </c>
      <c r="I31" s="1024"/>
    </row>
    <row r="32" spans="2:9" ht="15.75" thickTop="1" x14ac:dyDescent="0.25">
      <c r="B32" s="1023"/>
      <c r="C32" s="1033" t="s">
        <v>80</v>
      </c>
      <c r="D32" s="897"/>
      <c r="E32" s="897"/>
      <c r="F32" s="897"/>
      <c r="G32" s="897"/>
      <c r="H32" s="897"/>
      <c r="I32" s="1024"/>
    </row>
    <row r="33" spans="2:9" x14ac:dyDescent="0.25">
      <c r="B33" s="1023"/>
      <c r="C33" s="2198" t="s">
        <v>1671</v>
      </c>
      <c r="D33" s="2199"/>
      <c r="E33" s="2199"/>
      <c r="F33" s="2199"/>
      <c r="G33" s="2199"/>
      <c r="H33" s="2200"/>
      <c r="I33" s="1024"/>
    </row>
    <row r="34" spans="2:9" x14ac:dyDescent="0.25">
      <c r="B34" s="1023"/>
      <c r="C34" s="2201"/>
      <c r="D34" s="2202"/>
      <c r="E34" s="2202"/>
      <c r="F34" s="2202"/>
      <c r="G34" s="2202"/>
      <c r="H34" s="2203"/>
      <c r="I34" s="1024"/>
    </row>
    <row r="35" spans="2:9" x14ac:dyDescent="0.25">
      <c r="B35" s="1023"/>
      <c r="C35" s="2201"/>
      <c r="D35" s="2202"/>
      <c r="E35" s="2202"/>
      <c r="F35" s="2202"/>
      <c r="G35" s="2202"/>
      <c r="H35" s="2203"/>
      <c r="I35" s="1024"/>
    </row>
    <row r="36" spans="2:9" x14ac:dyDescent="0.25">
      <c r="B36" s="1023"/>
      <c r="C36" s="2201"/>
      <c r="D36" s="2202"/>
      <c r="E36" s="2202"/>
      <c r="F36" s="2202"/>
      <c r="G36" s="2202"/>
      <c r="H36" s="2203"/>
      <c r="I36" s="1024"/>
    </row>
    <row r="37" spans="2:9" x14ac:dyDescent="0.25">
      <c r="B37" s="1023"/>
      <c r="C37" s="2201"/>
      <c r="D37" s="2202"/>
      <c r="E37" s="2202"/>
      <c r="F37" s="2202"/>
      <c r="G37" s="2202"/>
      <c r="H37" s="2203"/>
      <c r="I37" s="1024"/>
    </row>
    <row r="38" spans="2:9" x14ac:dyDescent="0.25">
      <c r="B38" s="1023"/>
      <c r="C38" s="2201"/>
      <c r="D38" s="2202"/>
      <c r="E38" s="2202"/>
      <c r="F38" s="2202"/>
      <c r="G38" s="2202"/>
      <c r="H38" s="2203"/>
      <c r="I38" s="1024"/>
    </row>
    <row r="39" spans="2:9" x14ac:dyDescent="0.25">
      <c r="B39" s="1023"/>
      <c r="C39" s="2201"/>
      <c r="D39" s="2202"/>
      <c r="E39" s="2202"/>
      <c r="F39" s="2202"/>
      <c r="G39" s="2202"/>
      <c r="H39" s="2203"/>
      <c r="I39" s="1024"/>
    </row>
    <row r="40" spans="2:9" x14ac:dyDescent="0.25">
      <c r="B40" s="1023"/>
      <c r="C40" s="2201"/>
      <c r="D40" s="2202"/>
      <c r="E40" s="2202"/>
      <c r="F40" s="2202"/>
      <c r="G40" s="2202"/>
      <c r="H40" s="2203"/>
      <c r="I40" s="1024"/>
    </row>
    <row r="41" spans="2:9" x14ac:dyDescent="0.25">
      <c r="B41" s="1023"/>
      <c r="C41" s="2201"/>
      <c r="D41" s="2202"/>
      <c r="E41" s="2202"/>
      <c r="F41" s="2202"/>
      <c r="G41" s="2202"/>
      <c r="H41" s="2203"/>
      <c r="I41" s="1024"/>
    </row>
    <row r="42" spans="2:9" x14ac:dyDescent="0.25">
      <c r="B42" s="1023"/>
      <c r="C42" s="2201"/>
      <c r="D42" s="2202"/>
      <c r="E42" s="2202"/>
      <c r="F42" s="2202"/>
      <c r="G42" s="2202"/>
      <c r="H42" s="2203"/>
      <c r="I42" s="1024"/>
    </row>
    <row r="43" spans="2:9" x14ac:dyDescent="0.25">
      <c r="B43" s="1023"/>
      <c r="C43" s="2201"/>
      <c r="D43" s="2202"/>
      <c r="E43" s="2202"/>
      <c r="F43" s="2202"/>
      <c r="G43" s="2202"/>
      <c r="H43" s="2203"/>
      <c r="I43" s="1024"/>
    </row>
    <row r="44" spans="2:9" x14ac:dyDescent="0.25">
      <c r="B44" s="1023"/>
      <c r="C44" s="2201"/>
      <c r="D44" s="2202"/>
      <c r="E44" s="2202"/>
      <c r="F44" s="2202"/>
      <c r="G44" s="2202"/>
      <c r="H44" s="2203"/>
      <c r="I44" s="1024"/>
    </row>
    <row r="45" spans="2:9" x14ac:dyDescent="0.25">
      <c r="B45" s="1023"/>
      <c r="C45" s="2204"/>
      <c r="D45" s="2205"/>
      <c r="E45" s="2205"/>
      <c r="F45" s="2205"/>
      <c r="G45" s="2205"/>
      <c r="H45" s="2206"/>
      <c r="I45" s="1024"/>
    </row>
    <row r="46" spans="2:9" ht="9" customHeight="1" thickBot="1" x14ac:dyDescent="0.3">
      <c r="B46" s="1034"/>
      <c r="C46" s="1035"/>
      <c r="D46" s="1035"/>
      <c r="E46" s="1035"/>
      <c r="F46" s="1035"/>
      <c r="G46" s="1035"/>
      <c r="H46" s="1035"/>
      <c r="I46" s="1036"/>
    </row>
  </sheetData>
  <sheetProtection password="9F6B" sheet="1" objects="1" scenarios="1" formatCells="0" formatColumns="0" formatRows="0"/>
  <mergeCells count="15">
    <mergeCell ref="C29:D29"/>
    <mergeCell ref="C30:D30"/>
    <mergeCell ref="C33:H45"/>
    <mergeCell ref="C23:D23"/>
    <mergeCell ref="C24:D24"/>
    <mergeCell ref="C25:D25"/>
    <mergeCell ref="C26:D26"/>
    <mergeCell ref="C27:D27"/>
    <mergeCell ref="C28:D28"/>
    <mergeCell ref="C22:D22"/>
    <mergeCell ref="C12:H12"/>
    <mergeCell ref="C18:D18"/>
    <mergeCell ref="C19:D19"/>
    <mergeCell ref="C20:D20"/>
    <mergeCell ref="C21:D21"/>
  </mergeCells>
  <dataValidations count="4">
    <dataValidation type="list" allowBlank="1" showInputMessage="1" showErrorMessage="1" sqref="E19:E30">
      <formula1>"Yes,No"</formula1>
    </dataValidation>
    <dataValidation type="list" allowBlank="1" showInputMessage="1" showErrorMessage="1" sqref="G19:G30">
      <formula1>"Unit,Bed"</formula1>
    </dataValidation>
    <dataValidation type="list" allowBlank="1" showInputMessage="1" showErrorMessage="1" sqref="C19:D30">
      <formula1>Population_Types</formula1>
    </dataValidation>
    <dataValidation type="list" allowBlank="1" showInputMessage="1" showErrorMessage="1" sqref="F19:F30">
      <formula1>"Shelter,Transitional,Permanent Supportive,Multifamily Rental,Homeownership"</formula1>
    </dataValidation>
  </dataValidations>
  <pageMargins left="0.7" right="0.7" top="0.75" bottom="0.75" header="0.3" footer="0.3"/>
  <pageSetup orientation="portrait" r:id="rId1"/>
  <headerFooter>
    <oddFooter>&amp;LForm 3(b)
Populations to be Served&amp;CCFA Forms&amp;REdition: 2015
Version: 1.1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9"/>
  <sheetViews>
    <sheetView showGridLines="0" zoomScaleNormal="100" workbookViewId="0">
      <selection activeCell="C23" sqref="C23:G28"/>
    </sheetView>
  </sheetViews>
  <sheetFormatPr defaultRowHeight="15" x14ac:dyDescent="0.25"/>
  <cols>
    <col min="1" max="1" width="1.7109375" style="838" customWidth="1"/>
    <col min="2" max="2" width="5.5703125" style="918" customWidth="1"/>
    <col min="3" max="4" width="14.28515625" style="838" customWidth="1"/>
    <col min="5" max="5" width="20" style="838" customWidth="1"/>
    <col min="6" max="6" width="11.42578125" style="838" customWidth="1"/>
    <col min="7" max="7" width="21.42578125" style="838" customWidth="1"/>
    <col min="8" max="8" width="1.7109375" style="918" customWidth="1"/>
    <col min="9" max="16384" width="9.140625" style="838"/>
  </cols>
  <sheetData>
    <row r="1" spans="2:8" ht="9" customHeight="1" thickBot="1" x14ac:dyDescent="0.3"/>
    <row r="2" spans="2:8" ht="9" customHeight="1" x14ac:dyDescent="0.25">
      <c r="B2" s="1038"/>
      <c r="C2" s="1039"/>
      <c r="D2" s="1039"/>
      <c r="E2" s="1039"/>
      <c r="F2" s="1039"/>
      <c r="G2" s="1039"/>
      <c r="H2" s="1040"/>
    </row>
    <row r="3" spans="2:8" ht="18.75" x14ac:dyDescent="0.3">
      <c r="B3" s="1041"/>
      <c r="C3" s="2225" t="s">
        <v>81</v>
      </c>
      <c r="D3" s="2225"/>
      <c r="E3" s="2225"/>
      <c r="F3" s="2225"/>
      <c r="G3" s="2225"/>
      <c r="H3" s="1042"/>
    </row>
    <row r="4" spans="2:8" x14ac:dyDescent="0.25">
      <c r="B4" s="1041"/>
      <c r="C4" s="898"/>
      <c r="D4" s="898"/>
      <c r="E4" s="898"/>
      <c r="F4" s="898"/>
      <c r="G4" s="898"/>
      <c r="H4" s="1042"/>
    </row>
    <row r="5" spans="2:8" x14ac:dyDescent="0.25">
      <c r="B5" s="1041"/>
      <c r="C5" s="922" t="s">
        <v>1</v>
      </c>
      <c r="D5" s="2129" t="str">
        <f>IF('1A'!G5="","Enter Project Name on Form 1A",'1A'!G5)</f>
        <v>University District Apartments</v>
      </c>
      <c r="E5" s="2129"/>
      <c r="F5" s="2129"/>
      <c r="G5" s="898"/>
      <c r="H5" s="1042"/>
    </row>
    <row r="6" spans="2:8" ht="22.5" customHeight="1" thickBot="1" x14ac:dyDescent="0.3">
      <c r="B6" s="1041"/>
      <c r="C6" s="898"/>
      <c r="D6" s="898"/>
      <c r="E6" s="898"/>
      <c r="F6" s="898"/>
      <c r="G6" s="898"/>
      <c r="H6" s="1042"/>
    </row>
    <row r="7" spans="2:8" ht="26.25" thickBot="1" x14ac:dyDescent="0.3">
      <c r="B7" s="1041"/>
      <c r="C7" s="1043" t="s">
        <v>82</v>
      </c>
      <c r="D7" s="1044"/>
      <c r="E7" s="1045" t="s">
        <v>83</v>
      </c>
      <c r="F7" s="1046" t="s">
        <v>84</v>
      </c>
      <c r="G7" s="1047" t="s">
        <v>85</v>
      </c>
      <c r="H7" s="1042"/>
    </row>
    <row r="8" spans="2:8" ht="45" customHeight="1" x14ac:dyDescent="0.25">
      <c r="B8" s="1041"/>
      <c r="C8" s="2214" t="s">
        <v>86</v>
      </c>
      <c r="D8" s="2215"/>
      <c r="E8" s="1048"/>
      <c r="F8" s="1049"/>
      <c r="G8" s="1050"/>
      <c r="H8" s="1042"/>
    </row>
    <row r="9" spans="2:8" x14ac:dyDescent="0.25">
      <c r="B9" s="1041"/>
      <c r="C9" s="1051" t="s">
        <v>38</v>
      </c>
      <c r="D9" s="1052"/>
      <c r="E9" s="3"/>
      <c r="F9" s="2"/>
      <c r="G9" s="1053">
        <f>IF(F9="",(1*E9),(E9*F9))</f>
        <v>0</v>
      </c>
      <c r="H9" s="1042"/>
    </row>
    <row r="10" spans="2:8" x14ac:dyDescent="0.25">
      <c r="B10" s="1041"/>
      <c r="C10" s="1051" t="s">
        <v>39</v>
      </c>
      <c r="D10" s="1052"/>
      <c r="E10" s="3">
        <v>14700</v>
      </c>
      <c r="F10" s="2">
        <v>8</v>
      </c>
      <c r="G10" s="1053">
        <f>IF(F10="",(1*E10),(E10*F10))</f>
        <v>117600</v>
      </c>
      <c r="H10" s="1042"/>
    </row>
    <row r="11" spans="2:8" x14ac:dyDescent="0.25">
      <c r="B11" s="1041"/>
      <c r="C11" s="1051" t="s">
        <v>87</v>
      </c>
      <c r="D11" s="1052"/>
      <c r="E11" s="3">
        <v>30870</v>
      </c>
      <c r="F11" s="2">
        <v>1</v>
      </c>
      <c r="G11" s="1053">
        <f>IF(F11="",(1*E11),(E11*F11))</f>
        <v>30870</v>
      </c>
      <c r="H11" s="1042"/>
    </row>
    <row r="12" spans="2:8" x14ac:dyDescent="0.25">
      <c r="B12" s="1041"/>
      <c r="C12" s="1051" t="s">
        <v>88</v>
      </c>
      <c r="D12" s="1052"/>
      <c r="E12" s="210"/>
      <c r="F12" s="209"/>
      <c r="G12" s="1054">
        <f t="shared" ref="G12:G19" si="0">IF(F12="",(1*E12),(E12*F12))</f>
        <v>0</v>
      </c>
      <c r="H12" s="1042"/>
    </row>
    <row r="13" spans="2:8" x14ac:dyDescent="0.25">
      <c r="B13" s="1041"/>
      <c r="C13" s="1051" t="s">
        <v>89</v>
      </c>
      <c r="D13" s="1052"/>
      <c r="E13" s="210"/>
      <c r="F13" s="209"/>
      <c r="G13" s="1054">
        <f t="shared" si="0"/>
        <v>0</v>
      </c>
      <c r="H13" s="1042"/>
    </row>
    <row r="14" spans="2:8" x14ac:dyDescent="0.25">
      <c r="B14" s="1041"/>
      <c r="C14" s="1051" t="s">
        <v>90</v>
      </c>
      <c r="D14" s="1052"/>
      <c r="E14" s="210"/>
      <c r="F14" s="209"/>
      <c r="G14" s="1054">
        <f t="shared" si="0"/>
        <v>0</v>
      </c>
      <c r="H14" s="1042"/>
    </row>
    <row r="15" spans="2:8" x14ac:dyDescent="0.25">
      <c r="B15" s="1041"/>
      <c r="C15" s="1051" t="s">
        <v>91</v>
      </c>
      <c r="D15" s="1052"/>
      <c r="E15" s="210"/>
      <c r="F15" s="209"/>
      <c r="G15" s="1054">
        <f t="shared" si="0"/>
        <v>0</v>
      </c>
      <c r="H15" s="1042"/>
    </row>
    <row r="16" spans="2:8" x14ac:dyDescent="0.25">
      <c r="B16" s="1041"/>
      <c r="C16" s="1051" t="s">
        <v>92</v>
      </c>
      <c r="D16" s="1052"/>
      <c r="E16" s="210">
        <f>(8*500)+1*1000</f>
        <v>5000</v>
      </c>
      <c r="F16" s="209"/>
      <c r="G16" s="1054">
        <f t="shared" si="0"/>
        <v>5000</v>
      </c>
      <c r="H16" s="1042"/>
    </row>
    <row r="17" spans="2:8" x14ac:dyDescent="0.25">
      <c r="B17" s="1041"/>
      <c r="C17" s="1051" t="s">
        <v>93</v>
      </c>
      <c r="D17" s="1052"/>
      <c r="E17" s="210"/>
      <c r="F17" s="209"/>
      <c r="G17" s="1054">
        <f t="shared" si="0"/>
        <v>0</v>
      </c>
      <c r="H17" s="1042"/>
    </row>
    <row r="18" spans="2:8" x14ac:dyDescent="0.25">
      <c r="B18" s="1041"/>
      <c r="C18" s="1051" t="s">
        <v>94</v>
      </c>
      <c r="D18" s="1052"/>
      <c r="E18" s="210">
        <v>3333.3330000000001</v>
      </c>
      <c r="F18" s="209">
        <v>9</v>
      </c>
      <c r="G18" s="1054">
        <f t="shared" si="0"/>
        <v>29999.996999999999</v>
      </c>
      <c r="H18" s="1042"/>
    </row>
    <row r="19" spans="2:8" ht="15.75" thickBot="1" x14ac:dyDescent="0.3">
      <c r="B19" s="1041"/>
      <c r="C19" s="1055" t="s">
        <v>95</v>
      </c>
      <c r="D19" s="1056"/>
      <c r="E19" s="687">
        <v>1836.6669999999999</v>
      </c>
      <c r="F19" s="1">
        <v>9</v>
      </c>
      <c r="G19" s="1057">
        <f t="shared" si="0"/>
        <v>16530.003000000001</v>
      </c>
      <c r="H19" s="1042"/>
    </row>
    <row r="20" spans="2:8" ht="16.5" thickTop="1" thickBot="1" x14ac:dyDescent="0.3">
      <c r="B20" s="1041"/>
      <c r="C20" s="1058" t="s">
        <v>96</v>
      </c>
      <c r="D20" s="1059"/>
      <c r="E20" s="1060"/>
      <c r="F20" s="2052">
        <f>IF(SUM(F9:F19)=0,"",(SUM(F9:F19)))</f>
        <v>27</v>
      </c>
      <c r="G20" s="249">
        <f>SUM(G9:G19)</f>
        <v>200000</v>
      </c>
      <c r="H20" s="1042"/>
    </row>
    <row r="21" spans="2:8" s="918" customFormat="1" x14ac:dyDescent="0.25">
      <c r="B21" s="1041"/>
      <c r="C21" s="1061"/>
      <c r="D21" s="1062"/>
      <c r="E21" s="898"/>
      <c r="F21" s="898"/>
      <c r="G21" s="1063" t="s">
        <v>34</v>
      </c>
      <c r="H21" s="1042"/>
    </row>
    <row r="22" spans="2:8" s="918" customFormat="1" x14ac:dyDescent="0.25">
      <c r="B22" s="1041"/>
      <c r="C22" s="898" t="s">
        <v>97</v>
      </c>
      <c r="D22" s="898"/>
      <c r="E22" s="898"/>
      <c r="F22" s="898"/>
      <c r="G22" s="898"/>
      <c r="H22" s="1042"/>
    </row>
    <row r="23" spans="2:8" x14ac:dyDescent="0.25">
      <c r="B23" s="1041"/>
      <c r="C23" s="2216" t="s">
        <v>1663</v>
      </c>
      <c r="D23" s="2217"/>
      <c r="E23" s="2217"/>
      <c r="F23" s="2217"/>
      <c r="G23" s="2218"/>
      <c r="H23" s="1042"/>
    </row>
    <row r="24" spans="2:8" x14ac:dyDescent="0.25">
      <c r="B24" s="1041"/>
      <c r="C24" s="2219"/>
      <c r="D24" s="2220"/>
      <c r="E24" s="2220"/>
      <c r="F24" s="2220"/>
      <c r="G24" s="2221"/>
      <c r="H24" s="1042"/>
    </row>
    <row r="25" spans="2:8" x14ac:dyDescent="0.25">
      <c r="B25" s="1041"/>
      <c r="C25" s="2219"/>
      <c r="D25" s="2220"/>
      <c r="E25" s="2220"/>
      <c r="F25" s="2220"/>
      <c r="G25" s="2221"/>
      <c r="H25" s="1042"/>
    </row>
    <row r="26" spans="2:8" x14ac:dyDescent="0.25">
      <c r="B26" s="1041"/>
      <c r="C26" s="2219"/>
      <c r="D26" s="2220"/>
      <c r="E26" s="2220"/>
      <c r="F26" s="2220"/>
      <c r="G26" s="2221"/>
      <c r="H26" s="1042"/>
    </row>
    <row r="27" spans="2:8" x14ac:dyDescent="0.25">
      <c r="B27" s="1041"/>
      <c r="C27" s="2219"/>
      <c r="D27" s="2220"/>
      <c r="E27" s="2220"/>
      <c r="F27" s="2220"/>
      <c r="G27" s="2221"/>
      <c r="H27" s="1042"/>
    </row>
    <row r="28" spans="2:8" x14ac:dyDescent="0.25">
      <c r="B28" s="1041"/>
      <c r="C28" s="2222"/>
      <c r="D28" s="2223"/>
      <c r="E28" s="2223"/>
      <c r="F28" s="2223"/>
      <c r="G28" s="2224"/>
      <c r="H28" s="1042"/>
    </row>
    <row r="29" spans="2:8" ht="9" customHeight="1" thickBot="1" x14ac:dyDescent="0.3">
      <c r="B29" s="1064"/>
      <c r="C29" s="1065"/>
      <c r="D29" s="1065"/>
      <c r="E29" s="1065"/>
      <c r="F29" s="1065"/>
      <c r="G29" s="1065"/>
      <c r="H29" s="1066"/>
    </row>
  </sheetData>
  <sheetProtection password="9F6B" sheet="1" objects="1" scenarios="1" formatCells="0" formatColumns="0" formatRows="0"/>
  <mergeCells count="4">
    <mergeCell ref="C8:D8"/>
    <mergeCell ref="C23:G28"/>
    <mergeCell ref="D5:F5"/>
    <mergeCell ref="C3:G3"/>
  </mergeCells>
  <pageMargins left="0.7" right="0.7" top="0.75" bottom="0.75" header="0.3" footer="0.3"/>
  <pageSetup orientation="portrait" r:id="rId1"/>
  <headerFooter>
    <oddFooter>&amp;LForm 4
Relocation Budget&amp;CCFA Forms&amp;REdition: 2015
Version: 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78"/>
  <sheetViews>
    <sheetView showGridLines="0" zoomScaleNormal="100" workbookViewId="0">
      <selection activeCell="G47" sqref="G47"/>
    </sheetView>
  </sheetViews>
  <sheetFormatPr defaultRowHeight="15" x14ac:dyDescent="0.25"/>
  <cols>
    <col min="1" max="2" width="1.7109375" style="838" customWidth="1"/>
    <col min="3" max="3" width="14.28515625" style="838" customWidth="1"/>
    <col min="4" max="4" width="8.5703125" style="838" customWidth="1"/>
    <col min="5" max="5" width="35.140625" style="838" bestFit="1" customWidth="1"/>
    <col min="6" max="6" width="18.7109375" style="838" customWidth="1"/>
    <col min="7" max="7" width="42.85546875" style="838" customWidth="1"/>
    <col min="8" max="8" width="1.7109375" style="838" customWidth="1"/>
    <col min="9" max="16384" width="9.140625" style="838"/>
  </cols>
  <sheetData>
    <row r="7" spans="2:8" ht="9" customHeight="1" thickBot="1" x14ac:dyDescent="0.3"/>
    <row r="8" spans="2:8" ht="9" customHeight="1" x14ac:dyDescent="0.25">
      <c r="B8" s="20"/>
      <c r="C8" s="21"/>
      <c r="D8" s="21"/>
      <c r="E8" s="21"/>
      <c r="F8" s="21"/>
      <c r="G8" s="21"/>
      <c r="H8" s="22"/>
    </row>
    <row r="9" spans="2:8" ht="18.75" x14ac:dyDescent="0.3">
      <c r="B9" s="23"/>
      <c r="C9" s="2225" t="s">
        <v>98</v>
      </c>
      <c r="D9" s="2225"/>
      <c r="E9" s="2225"/>
      <c r="F9" s="2225"/>
      <c r="G9" s="2225"/>
      <c r="H9" s="24"/>
    </row>
    <row r="10" spans="2:8" x14ac:dyDescent="0.25">
      <c r="B10" s="8"/>
      <c r="C10" s="6"/>
      <c r="D10" s="6"/>
      <c r="E10" s="6"/>
      <c r="F10" s="5"/>
      <c r="G10" s="5"/>
      <c r="H10" s="7"/>
    </row>
    <row r="11" spans="2:8" x14ac:dyDescent="0.25">
      <c r="B11" s="8"/>
      <c r="C11" s="922" t="s">
        <v>59</v>
      </c>
      <c r="D11" s="2234" t="str">
        <f>IF('1A'!G5="","Enter Project Name on Form 1A",'1A'!G5)</f>
        <v>University District Apartments</v>
      </c>
      <c r="E11" s="2234"/>
      <c r="F11" s="2234"/>
      <c r="G11" s="5"/>
      <c r="H11" s="7"/>
    </row>
    <row r="12" spans="2:8" ht="22.5" customHeight="1" thickBot="1" x14ac:dyDescent="0.3">
      <c r="B12" s="8"/>
      <c r="C12" s="1067"/>
      <c r="D12" s="1067"/>
      <c r="E12" s="897"/>
      <c r="F12" s="897"/>
      <c r="G12" s="252"/>
      <c r="H12" s="7"/>
    </row>
    <row r="13" spans="2:8" ht="39" thickBot="1" x14ac:dyDescent="0.3">
      <c r="B13" s="8"/>
      <c r="C13" s="2245" t="s">
        <v>99</v>
      </c>
      <c r="D13" s="2246"/>
      <c r="E13" s="254" t="s">
        <v>100</v>
      </c>
      <c r="F13" s="255" t="s">
        <v>645</v>
      </c>
      <c r="G13" s="256" t="s">
        <v>101</v>
      </c>
      <c r="H13" s="7"/>
    </row>
    <row r="14" spans="2:8" x14ac:dyDescent="0.25">
      <c r="B14" s="8"/>
      <c r="C14" s="2249" t="s">
        <v>102</v>
      </c>
      <c r="D14" s="2250"/>
      <c r="E14" s="28" t="s">
        <v>103</v>
      </c>
      <c r="F14" s="2066">
        <v>41671</v>
      </c>
      <c r="G14" s="18" t="s">
        <v>1545</v>
      </c>
      <c r="H14" s="7"/>
    </row>
    <row r="15" spans="2:8" x14ac:dyDescent="0.25">
      <c r="B15" s="8"/>
      <c r="C15" s="2228" t="s">
        <v>104</v>
      </c>
      <c r="D15" s="2229"/>
      <c r="E15" s="19" t="s">
        <v>105</v>
      </c>
      <c r="F15" s="2067">
        <v>42582</v>
      </c>
      <c r="G15" s="13"/>
      <c r="H15" s="7"/>
    </row>
    <row r="16" spans="2:8" x14ac:dyDescent="0.25">
      <c r="B16" s="8"/>
      <c r="C16" s="2228" t="s">
        <v>104</v>
      </c>
      <c r="D16" s="2229"/>
      <c r="E16" s="19" t="s">
        <v>106</v>
      </c>
      <c r="F16" s="2068">
        <v>42582</v>
      </c>
      <c r="G16" s="13" t="s">
        <v>1546</v>
      </c>
      <c r="H16" s="7"/>
    </row>
    <row r="17" spans="2:8" x14ac:dyDescent="0.25">
      <c r="B17" s="8"/>
      <c r="C17" s="2228"/>
      <c r="D17" s="2229"/>
      <c r="E17" s="19"/>
      <c r="F17" s="19"/>
      <c r="G17" s="16"/>
      <c r="H17" s="7"/>
    </row>
    <row r="18" spans="2:8" x14ac:dyDescent="0.25">
      <c r="B18" s="8"/>
      <c r="C18" s="2243" t="s">
        <v>107</v>
      </c>
      <c r="D18" s="2244"/>
      <c r="E18" s="19" t="s">
        <v>108</v>
      </c>
      <c r="F18" s="2067">
        <v>41821</v>
      </c>
      <c r="G18" s="13" t="s">
        <v>1547</v>
      </c>
      <c r="H18" s="7"/>
    </row>
    <row r="19" spans="2:8" x14ac:dyDescent="0.25">
      <c r="B19" s="8"/>
      <c r="C19" s="2228" t="s">
        <v>107</v>
      </c>
      <c r="D19" s="2229"/>
      <c r="E19" s="19" t="s">
        <v>109</v>
      </c>
      <c r="F19" s="2067">
        <v>42278</v>
      </c>
      <c r="G19" s="16" t="s">
        <v>1548</v>
      </c>
      <c r="H19" s="7"/>
    </row>
    <row r="20" spans="2:8" x14ac:dyDescent="0.25">
      <c r="B20" s="8"/>
      <c r="C20" s="2228" t="s">
        <v>107</v>
      </c>
      <c r="D20" s="2229"/>
      <c r="E20" s="19" t="s">
        <v>110</v>
      </c>
      <c r="F20" s="2067">
        <v>42248</v>
      </c>
      <c r="G20" s="16"/>
      <c r="H20" s="7"/>
    </row>
    <row r="21" spans="2:8" x14ac:dyDescent="0.25">
      <c r="B21" s="8"/>
      <c r="C21" s="2228" t="s">
        <v>107</v>
      </c>
      <c r="D21" s="2229"/>
      <c r="E21" s="19" t="s">
        <v>111</v>
      </c>
      <c r="F21" s="19" t="s">
        <v>1431</v>
      </c>
      <c r="G21" s="16"/>
      <c r="H21" s="7"/>
    </row>
    <row r="22" spans="2:8" x14ac:dyDescent="0.25">
      <c r="B22" s="8"/>
      <c r="C22" s="2228" t="s">
        <v>107</v>
      </c>
      <c r="D22" s="2229"/>
      <c r="E22" s="19" t="s">
        <v>112</v>
      </c>
      <c r="F22" s="2067">
        <v>42309</v>
      </c>
      <c r="G22" s="16"/>
      <c r="H22" s="7"/>
    </row>
    <row r="23" spans="2:8" x14ac:dyDescent="0.25">
      <c r="B23" s="8"/>
      <c r="C23" s="2228" t="s">
        <v>107</v>
      </c>
      <c r="D23" s="2229"/>
      <c r="E23" s="19" t="s">
        <v>113</v>
      </c>
      <c r="F23" s="2067" t="s">
        <v>1431</v>
      </c>
      <c r="G23" s="16"/>
      <c r="H23" s="7"/>
    </row>
    <row r="24" spans="2:8" x14ac:dyDescent="0.25">
      <c r="B24" s="8"/>
      <c r="C24" s="2228" t="s">
        <v>107</v>
      </c>
      <c r="D24" s="2229"/>
      <c r="E24" s="19" t="s">
        <v>114</v>
      </c>
      <c r="F24" s="25" t="s">
        <v>1431</v>
      </c>
      <c r="G24" s="16"/>
      <c r="H24" s="7"/>
    </row>
    <row r="25" spans="2:8" x14ac:dyDescent="0.25">
      <c r="B25" s="8"/>
      <c r="C25" s="2228" t="s">
        <v>107</v>
      </c>
      <c r="D25" s="2229"/>
      <c r="E25" s="19" t="s">
        <v>115</v>
      </c>
      <c r="F25" s="19" t="s">
        <v>1431</v>
      </c>
      <c r="G25" s="16"/>
      <c r="H25" s="7"/>
    </row>
    <row r="26" spans="2:8" x14ac:dyDescent="0.25">
      <c r="B26" s="8"/>
      <c r="C26" s="2228" t="s">
        <v>107</v>
      </c>
      <c r="D26" s="2229"/>
      <c r="E26" s="19" t="s">
        <v>116</v>
      </c>
      <c r="F26" s="2067">
        <v>42186</v>
      </c>
      <c r="G26" s="14"/>
      <c r="H26" s="7"/>
    </row>
    <row r="27" spans="2:8" x14ac:dyDescent="0.25">
      <c r="B27" s="8"/>
      <c r="C27" s="2228" t="s">
        <v>107</v>
      </c>
      <c r="D27" s="2229"/>
      <c r="E27" s="19" t="s">
        <v>117</v>
      </c>
      <c r="F27" s="2068">
        <v>42522</v>
      </c>
      <c r="G27" s="14"/>
      <c r="H27" s="7"/>
    </row>
    <row r="28" spans="2:8" x14ac:dyDescent="0.25">
      <c r="B28" s="8"/>
      <c r="C28" s="2239"/>
      <c r="D28" s="2240"/>
      <c r="E28" s="19"/>
      <c r="F28" s="19"/>
      <c r="G28" s="14"/>
      <c r="H28" s="7"/>
    </row>
    <row r="29" spans="2:8" x14ac:dyDescent="0.25">
      <c r="B29" s="8"/>
      <c r="C29" s="2239" t="s">
        <v>118</v>
      </c>
      <c r="D29" s="2240"/>
      <c r="E29" s="19" t="s">
        <v>119</v>
      </c>
      <c r="F29" s="2067">
        <v>42217</v>
      </c>
      <c r="G29" s="14"/>
      <c r="H29" s="7"/>
    </row>
    <row r="30" spans="2:8" x14ac:dyDescent="0.25">
      <c r="B30" s="8"/>
      <c r="C30" s="2239" t="s">
        <v>118</v>
      </c>
      <c r="D30" s="2240"/>
      <c r="E30" s="19" t="s">
        <v>120</v>
      </c>
      <c r="F30" s="2067">
        <v>42430</v>
      </c>
      <c r="G30" s="14"/>
      <c r="H30" s="7"/>
    </row>
    <row r="31" spans="2:8" x14ac:dyDescent="0.25">
      <c r="B31" s="8"/>
      <c r="C31" s="2239" t="s">
        <v>118</v>
      </c>
      <c r="D31" s="2240"/>
      <c r="E31" s="19" t="s">
        <v>121</v>
      </c>
      <c r="F31" s="2067">
        <v>42217</v>
      </c>
      <c r="G31" s="14"/>
      <c r="H31" s="7"/>
    </row>
    <row r="32" spans="2:8" x14ac:dyDescent="0.25">
      <c r="B32" s="8"/>
      <c r="C32" s="2239" t="s">
        <v>118</v>
      </c>
      <c r="D32" s="2240"/>
      <c r="E32" s="19" t="s">
        <v>122</v>
      </c>
      <c r="F32" s="2067">
        <v>42248</v>
      </c>
      <c r="G32" s="14"/>
      <c r="H32" s="7"/>
    </row>
    <row r="33" spans="2:8" x14ac:dyDescent="0.25">
      <c r="B33" s="8"/>
      <c r="C33" s="2239" t="s">
        <v>118</v>
      </c>
      <c r="D33" s="2240"/>
      <c r="E33" s="19" t="s">
        <v>123</v>
      </c>
      <c r="F33" s="2067">
        <v>42370</v>
      </c>
      <c r="G33" s="14"/>
      <c r="H33" s="7"/>
    </row>
    <row r="34" spans="2:8" x14ac:dyDescent="0.25">
      <c r="B34" s="8"/>
      <c r="C34" s="2239" t="s">
        <v>118</v>
      </c>
      <c r="D34" s="2240"/>
      <c r="E34" s="19" t="s">
        <v>124</v>
      </c>
      <c r="F34" s="19" t="s">
        <v>1431</v>
      </c>
      <c r="G34" s="14"/>
      <c r="H34" s="7"/>
    </row>
    <row r="35" spans="2:8" x14ac:dyDescent="0.25">
      <c r="B35" s="8"/>
      <c r="C35" s="2239" t="s">
        <v>118</v>
      </c>
      <c r="D35" s="2240"/>
      <c r="E35" s="19" t="s">
        <v>125</v>
      </c>
      <c r="F35" s="2067">
        <v>42430</v>
      </c>
      <c r="G35" s="14"/>
      <c r="H35" s="7"/>
    </row>
    <row r="36" spans="2:8" x14ac:dyDescent="0.25">
      <c r="B36" s="8"/>
      <c r="C36" s="2239" t="s">
        <v>118</v>
      </c>
      <c r="D36" s="2240"/>
      <c r="E36" s="19" t="s">
        <v>126</v>
      </c>
      <c r="F36" s="2067">
        <v>42522</v>
      </c>
      <c r="G36" s="14"/>
      <c r="H36" s="7"/>
    </row>
    <row r="37" spans="2:8" x14ac:dyDescent="0.25">
      <c r="B37" s="8"/>
      <c r="C37" s="2239"/>
      <c r="D37" s="2240"/>
      <c r="E37" s="19"/>
      <c r="F37" s="19"/>
      <c r="G37" s="14"/>
      <c r="H37" s="7"/>
    </row>
    <row r="38" spans="2:8" x14ac:dyDescent="0.25">
      <c r="B38" s="8"/>
      <c r="C38" s="2228" t="s">
        <v>127</v>
      </c>
      <c r="D38" s="2229"/>
      <c r="E38" s="19" t="s">
        <v>128</v>
      </c>
      <c r="F38" s="2067">
        <v>42430</v>
      </c>
      <c r="G38" s="13"/>
      <c r="H38" s="7"/>
    </row>
    <row r="39" spans="2:8" x14ac:dyDescent="0.25">
      <c r="B39" s="8"/>
      <c r="C39" s="2241" t="s">
        <v>129</v>
      </c>
      <c r="D39" s="2242"/>
      <c r="E39" s="25" t="s">
        <v>130</v>
      </c>
      <c r="F39" s="2068">
        <v>42217</v>
      </c>
      <c r="G39" s="15" t="s">
        <v>1549</v>
      </c>
      <c r="H39" s="7"/>
    </row>
    <row r="40" spans="2:8" x14ac:dyDescent="0.25">
      <c r="B40" s="8"/>
      <c r="C40" s="2228" t="s">
        <v>127</v>
      </c>
      <c r="D40" s="2229"/>
      <c r="E40" s="25" t="s">
        <v>131</v>
      </c>
      <c r="F40" s="2067">
        <v>42248</v>
      </c>
      <c r="G40" s="14" t="s">
        <v>1550</v>
      </c>
      <c r="H40" s="7"/>
    </row>
    <row r="41" spans="2:8" x14ac:dyDescent="0.25">
      <c r="B41" s="8"/>
      <c r="C41" s="2228" t="s">
        <v>127</v>
      </c>
      <c r="D41" s="2229"/>
      <c r="E41" s="25" t="s">
        <v>132</v>
      </c>
      <c r="F41" s="2067">
        <v>42370</v>
      </c>
      <c r="G41" s="14" t="s">
        <v>1551</v>
      </c>
      <c r="H41" s="7"/>
    </row>
    <row r="42" spans="2:8" x14ac:dyDescent="0.25">
      <c r="B42" s="8"/>
      <c r="C42" s="2228" t="s">
        <v>127</v>
      </c>
      <c r="D42" s="2229"/>
      <c r="E42" s="25" t="s">
        <v>132</v>
      </c>
      <c r="F42" s="19"/>
      <c r="G42" s="14"/>
      <c r="H42" s="7"/>
    </row>
    <row r="43" spans="2:8" ht="25.5" x14ac:dyDescent="0.25">
      <c r="B43" s="8"/>
      <c r="C43" s="2228" t="s">
        <v>127</v>
      </c>
      <c r="D43" s="2229"/>
      <c r="E43" s="19" t="s">
        <v>133</v>
      </c>
      <c r="F43" s="2067">
        <v>42217</v>
      </c>
      <c r="G43" s="14" t="s">
        <v>1552</v>
      </c>
      <c r="H43" s="7"/>
    </row>
    <row r="44" spans="2:8" x14ac:dyDescent="0.25">
      <c r="B44" s="8"/>
      <c r="C44" s="2228" t="s">
        <v>127</v>
      </c>
      <c r="D44" s="2229"/>
      <c r="E44" s="19" t="s">
        <v>134</v>
      </c>
      <c r="F44" s="2067">
        <v>42461</v>
      </c>
      <c r="G44" s="14"/>
      <c r="H44" s="7"/>
    </row>
    <row r="45" spans="2:8" ht="38.25" x14ac:dyDescent="0.25">
      <c r="B45" s="8"/>
      <c r="C45" s="2241" t="s">
        <v>129</v>
      </c>
      <c r="D45" s="2242"/>
      <c r="E45" s="25" t="s">
        <v>135</v>
      </c>
      <c r="F45" s="25" t="s">
        <v>1664</v>
      </c>
      <c r="G45" s="12" t="s">
        <v>1666</v>
      </c>
      <c r="H45" s="7"/>
    </row>
    <row r="46" spans="2:8" x14ac:dyDescent="0.25">
      <c r="B46" s="8"/>
      <c r="C46" s="2228" t="s">
        <v>127</v>
      </c>
      <c r="D46" s="2229"/>
      <c r="E46" s="19" t="s">
        <v>136</v>
      </c>
      <c r="F46" s="2067">
        <v>42339</v>
      </c>
      <c r="G46" s="14" t="s">
        <v>1550</v>
      </c>
      <c r="H46" s="7"/>
    </row>
    <row r="47" spans="2:8" x14ac:dyDescent="0.25">
      <c r="B47" s="8"/>
      <c r="C47" s="2228" t="s">
        <v>127</v>
      </c>
      <c r="D47" s="2229"/>
      <c r="E47" s="19" t="s">
        <v>137</v>
      </c>
      <c r="F47" s="2067">
        <v>42430</v>
      </c>
      <c r="G47" s="14" t="s">
        <v>1551</v>
      </c>
      <c r="H47" s="7"/>
    </row>
    <row r="48" spans="2:8" x14ac:dyDescent="0.25">
      <c r="B48" s="8"/>
      <c r="C48" s="2228" t="s">
        <v>127</v>
      </c>
      <c r="D48" s="2229"/>
      <c r="E48" s="19" t="s">
        <v>137</v>
      </c>
      <c r="F48" s="19"/>
      <c r="G48" s="14"/>
      <c r="H48" s="7"/>
    </row>
    <row r="49" spans="2:8" x14ac:dyDescent="0.25">
      <c r="B49" s="8"/>
      <c r="C49" s="2228" t="s">
        <v>127</v>
      </c>
      <c r="D49" s="2229"/>
      <c r="E49" s="19" t="s">
        <v>138</v>
      </c>
      <c r="F49" s="2068">
        <v>42628</v>
      </c>
      <c r="G49" s="14"/>
      <c r="H49" s="7"/>
    </row>
    <row r="50" spans="2:8" x14ac:dyDescent="0.25">
      <c r="B50" s="8"/>
      <c r="C50" s="2228"/>
      <c r="D50" s="2229"/>
      <c r="E50" s="19"/>
      <c r="F50" s="19"/>
      <c r="G50" s="14"/>
      <c r="H50" s="7"/>
    </row>
    <row r="51" spans="2:8" x14ac:dyDescent="0.25">
      <c r="B51" s="8"/>
      <c r="C51" s="2247" t="s">
        <v>139</v>
      </c>
      <c r="D51" s="2248"/>
      <c r="E51" s="19" t="s">
        <v>140</v>
      </c>
      <c r="F51" s="2067">
        <v>41944</v>
      </c>
      <c r="G51" s="13"/>
      <c r="H51" s="7"/>
    </row>
    <row r="52" spans="2:8" x14ac:dyDescent="0.25">
      <c r="B52" s="8"/>
      <c r="C52" s="2228" t="s">
        <v>139</v>
      </c>
      <c r="D52" s="2229"/>
      <c r="E52" s="19" t="s">
        <v>141</v>
      </c>
      <c r="F52" s="2067">
        <v>42248</v>
      </c>
      <c r="G52" s="13" t="s">
        <v>1621</v>
      </c>
      <c r="H52" s="7"/>
    </row>
    <row r="53" spans="2:8" x14ac:dyDescent="0.25">
      <c r="B53" s="8"/>
      <c r="C53" s="2228" t="s">
        <v>139</v>
      </c>
      <c r="D53" s="2229"/>
      <c r="E53" s="19" t="s">
        <v>142</v>
      </c>
      <c r="F53" s="2067">
        <v>42339</v>
      </c>
      <c r="G53" s="13" t="s">
        <v>1622</v>
      </c>
      <c r="H53" s="7"/>
    </row>
    <row r="54" spans="2:8" x14ac:dyDescent="0.25">
      <c r="B54" s="8"/>
      <c r="C54" s="2228" t="s">
        <v>139</v>
      </c>
      <c r="D54" s="2229"/>
      <c r="E54" s="19" t="s">
        <v>143</v>
      </c>
      <c r="F54" s="2067">
        <v>42401</v>
      </c>
      <c r="G54" s="13"/>
      <c r="H54" s="7"/>
    </row>
    <row r="55" spans="2:8" x14ac:dyDescent="0.25">
      <c r="B55" s="8"/>
      <c r="C55" s="2228" t="s">
        <v>139</v>
      </c>
      <c r="D55" s="2229"/>
      <c r="E55" s="19" t="s">
        <v>144</v>
      </c>
      <c r="F55" s="2067">
        <v>42614</v>
      </c>
      <c r="G55" s="16"/>
      <c r="H55" s="7"/>
    </row>
    <row r="56" spans="2:8" x14ac:dyDescent="0.25">
      <c r="B56" s="8"/>
      <c r="C56" s="2230" t="s">
        <v>139</v>
      </c>
      <c r="D56" s="2231"/>
      <c r="E56" s="25" t="s">
        <v>145</v>
      </c>
      <c r="F56" s="2068">
        <v>42370</v>
      </c>
      <c r="G56" s="12"/>
      <c r="H56" s="7"/>
    </row>
    <row r="57" spans="2:8" ht="15.75" thickBot="1" x14ac:dyDescent="0.3">
      <c r="B57" s="31"/>
      <c r="C57" s="2226" t="s">
        <v>139</v>
      </c>
      <c r="D57" s="2227"/>
      <c r="E57" s="29" t="s">
        <v>146</v>
      </c>
      <c r="F57" s="2105">
        <v>42430</v>
      </c>
      <c r="G57" s="30"/>
      <c r="H57" s="32"/>
    </row>
    <row r="58" spans="2:8" ht="9" customHeight="1" thickBot="1" x14ac:dyDescent="0.3">
      <c r="B58" s="34"/>
      <c r="C58" s="1068"/>
      <c r="D58" s="1068"/>
      <c r="E58" s="1069"/>
      <c r="F58" s="1069"/>
      <c r="G58" s="1068"/>
      <c r="H58" s="35"/>
    </row>
    <row r="59" spans="2:8" ht="9" customHeight="1" x14ac:dyDescent="0.25">
      <c r="B59" s="36"/>
      <c r="C59" s="37"/>
      <c r="D59" s="37"/>
      <c r="E59" s="37"/>
      <c r="F59" s="37"/>
      <c r="G59" s="37"/>
      <c r="H59" s="38"/>
    </row>
    <row r="60" spans="2:8" ht="18.75" x14ac:dyDescent="0.3">
      <c r="B60" s="23"/>
      <c r="C60" s="2225" t="s">
        <v>147</v>
      </c>
      <c r="D60" s="2225"/>
      <c r="E60" s="2225"/>
      <c r="F60" s="2225"/>
      <c r="G60" s="2225"/>
      <c r="H60" s="24"/>
    </row>
    <row r="61" spans="2:8" x14ac:dyDescent="0.25">
      <c r="B61" s="8"/>
      <c r="C61" s="6"/>
      <c r="D61" s="6"/>
      <c r="E61" s="6"/>
      <c r="F61" s="5"/>
      <c r="G61" s="5"/>
      <c r="H61" s="7"/>
    </row>
    <row r="62" spans="2:8" x14ac:dyDescent="0.25">
      <c r="B62" s="8"/>
      <c r="C62" s="922" t="s">
        <v>59</v>
      </c>
      <c r="D62" s="2234" t="str">
        <f>IF('1A'!G5="","Enter Project Name on Form 1A",'1A'!G5)</f>
        <v>University District Apartments</v>
      </c>
      <c r="E62" s="2234"/>
      <c r="F62" s="2234"/>
      <c r="G62" s="5"/>
      <c r="H62" s="7"/>
    </row>
    <row r="63" spans="2:8" ht="22.5" customHeight="1" thickBot="1" x14ac:dyDescent="0.3">
      <c r="B63" s="8"/>
      <c r="C63" s="1067"/>
      <c r="D63" s="1067"/>
      <c r="E63" s="897"/>
      <c r="F63" s="897"/>
      <c r="G63" s="252"/>
      <c r="H63" s="7"/>
    </row>
    <row r="64" spans="2:8" ht="39" thickBot="1" x14ac:dyDescent="0.3">
      <c r="B64" s="8"/>
      <c r="C64" s="2232" t="s">
        <v>99</v>
      </c>
      <c r="D64" s="2233"/>
      <c r="E64" s="250" t="s">
        <v>100</v>
      </c>
      <c r="F64" s="2005" t="s">
        <v>645</v>
      </c>
      <c r="G64" s="251" t="s">
        <v>101</v>
      </c>
      <c r="H64" s="7"/>
    </row>
    <row r="65" spans="2:8" ht="25.5" x14ac:dyDescent="0.25">
      <c r="B65" s="8"/>
      <c r="C65" s="2235" t="s">
        <v>148</v>
      </c>
      <c r="D65" s="2236"/>
      <c r="E65" s="33" t="s">
        <v>149</v>
      </c>
      <c r="F65" s="2069">
        <v>41791</v>
      </c>
      <c r="G65" s="2070" t="s">
        <v>1665</v>
      </c>
      <c r="H65" s="7"/>
    </row>
    <row r="66" spans="2:8" x14ac:dyDescent="0.25">
      <c r="B66" s="8"/>
      <c r="C66" s="2228" t="s">
        <v>148</v>
      </c>
      <c r="D66" s="2229"/>
      <c r="E66" s="19" t="s">
        <v>150</v>
      </c>
      <c r="F66" s="2067">
        <v>42644</v>
      </c>
      <c r="G66" s="14"/>
      <c r="H66" s="7"/>
    </row>
    <row r="67" spans="2:8" x14ac:dyDescent="0.25">
      <c r="B67" s="8"/>
      <c r="C67" s="2228" t="s">
        <v>148</v>
      </c>
      <c r="D67" s="2229"/>
      <c r="E67" s="19" t="s">
        <v>151</v>
      </c>
      <c r="F67" s="2067">
        <v>43101</v>
      </c>
      <c r="G67" s="14"/>
      <c r="H67" s="7"/>
    </row>
    <row r="68" spans="2:8" x14ac:dyDescent="0.25">
      <c r="B68" s="8"/>
      <c r="C68" s="2228"/>
      <c r="D68" s="2229"/>
      <c r="E68" s="28"/>
      <c r="F68" s="28"/>
      <c r="G68" s="18"/>
      <c r="H68" s="7"/>
    </row>
    <row r="69" spans="2:8" x14ac:dyDescent="0.25">
      <c r="B69" s="8"/>
      <c r="C69" s="2228" t="s">
        <v>152</v>
      </c>
      <c r="D69" s="2229"/>
      <c r="E69" s="28" t="s">
        <v>153</v>
      </c>
      <c r="F69" s="2066">
        <v>41821</v>
      </c>
      <c r="G69" s="18"/>
      <c r="H69" s="7"/>
    </row>
    <row r="70" spans="2:8" x14ac:dyDescent="0.25">
      <c r="B70" s="8"/>
      <c r="C70" s="2228" t="s">
        <v>152</v>
      </c>
      <c r="D70" s="2229"/>
      <c r="E70" s="19" t="s">
        <v>154</v>
      </c>
      <c r="F70" s="2066">
        <v>41821</v>
      </c>
      <c r="G70" s="14"/>
      <c r="H70" s="7"/>
    </row>
    <row r="71" spans="2:8" x14ac:dyDescent="0.25">
      <c r="B71" s="8"/>
      <c r="C71" s="2228" t="s">
        <v>152</v>
      </c>
      <c r="D71" s="2229"/>
      <c r="E71" s="19" t="s">
        <v>155</v>
      </c>
      <c r="F71" s="2067">
        <v>43101</v>
      </c>
      <c r="G71" s="14"/>
      <c r="H71" s="7"/>
    </row>
    <row r="72" spans="2:8" x14ac:dyDescent="0.25">
      <c r="B72" s="8"/>
      <c r="C72" s="2228" t="s">
        <v>152</v>
      </c>
      <c r="D72" s="2229"/>
      <c r="E72" s="19" t="s">
        <v>156</v>
      </c>
      <c r="F72" s="2067">
        <v>43313</v>
      </c>
      <c r="G72" s="14"/>
      <c r="H72" s="7"/>
    </row>
    <row r="73" spans="2:8" x14ac:dyDescent="0.25">
      <c r="B73" s="8"/>
      <c r="C73" s="2241" t="s">
        <v>152</v>
      </c>
      <c r="D73" s="2242"/>
      <c r="E73" s="25" t="s">
        <v>157</v>
      </c>
      <c r="F73" s="2068">
        <v>43101</v>
      </c>
      <c r="G73" s="14"/>
      <c r="H73" s="7"/>
    </row>
    <row r="74" spans="2:8" x14ac:dyDescent="0.25">
      <c r="B74" s="8"/>
      <c r="C74" s="2241" t="s">
        <v>152</v>
      </c>
      <c r="D74" s="2242"/>
      <c r="E74" s="25" t="s">
        <v>158</v>
      </c>
      <c r="F74" s="2068">
        <v>43101</v>
      </c>
      <c r="G74" s="14"/>
      <c r="H74" s="7"/>
    </row>
    <row r="75" spans="2:8" ht="25.5" x14ac:dyDescent="0.25">
      <c r="B75" s="8"/>
      <c r="C75" s="2237" t="s">
        <v>152</v>
      </c>
      <c r="D75" s="2238"/>
      <c r="E75" s="26" t="s">
        <v>159</v>
      </c>
      <c r="F75" s="2068">
        <v>43132</v>
      </c>
      <c r="G75" s="14"/>
      <c r="H75" s="7"/>
    </row>
    <row r="76" spans="2:8" x14ac:dyDescent="0.25">
      <c r="B76" s="8"/>
      <c r="C76" s="2237" t="s">
        <v>152</v>
      </c>
      <c r="D76" s="2238"/>
      <c r="E76" s="26" t="s">
        <v>160</v>
      </c>
      <c r="F76" s="29">
        <v>2018</v>
      </c>
      <c r="G76" s="253"/>
      <c r="H76" s="7"/>
    </row>
    <row r="77" spans="2:8" ht="15.75" thickBot="1" x14ac:dyDescent="0.3">
      <c r="B77" s="8"/>
      <c r="C77" s="2226"/>
      <c r="D77" s="2227"/>
      <c r="E77" s="27"/>
      <c r="F77" s="27"/>
      <c r="G77" s="17"/>
      <c r="H77" s="7"/>
    </row>
    <row r="78" spans="2:8" ht="9" customHeight="1" thickBot="1" x14ac:dyDescent="0.3">
      <c r="B78" s="9"/>
      <c r="C78" s="10"/>
      <c r="D78" s="10"/>
      <c r="E78" s="10"/>
      <c r="F78" s="10"/>
      <c r="G78" s="10"/>
      <c r="H78" s="11"/>
    </row>
  </sheetData>
  <sheetProtection password="9F6B" sheet="1" objects="1" scenarios="1" formatCells="0" formatColumns="0" formatRows="0" insertRows="0"/>
  <mergeCells count="63">
    <mergeCell ref="C71:D71"/>
    <mergeCell ref="C72:D72"/>
    <mergeCell ref="C73:D73"/>
    <mergeCell ref="C74:D74"/>
    <mergeCell ref="C9:G9"/>
    <mergeCell ref="C18:D18"/>
    <mergeCell ref="C13:D13"/>
    <mergeCell ref="C51:D51"/>
    <mergeCell ref="C14:D14"/>
    <mergeCell ref="C15:D15"/>
    <mergeCell ref="C16:D16"/>
    <mergeCell ref="C17:D17"/>
    <mergeCell ref="C19:D19"/>
    <mergeCell ref="C20:D20"/>
    <mergeCell ref="C21:D21"/>
    <mergeCell ref="C22:D22"/>
    <mergeCell ref="C23:D23"/>
    <mergeCell ref="C31:D31"/>
    <mergeCell ref="C32:D32"/>
    <mergeCell ref="C39:D39"/>
    <mergeCell ref="C24:D24"/>
    <mergeCell ref="C25:D25"/>
    <mergeCell ref="C26:D26"/>
    <mergeCell ref="C27:D27"/>
    <mergeCell ref="C28:D28"/>
    <mergeCell ref="C53:D53"/>
    <mergeCell ref="C43:D43"/>
    <mergeCell ref="C44:D44"/>
    <mergeCell ref="C45:D45"/>
    <mergeCell ref="C46:D46"/>
    <mergeCell ref="C47:D47"/>
    <mergeCell ref="D11:F11"/>
    <mergeCell ref="C48:D48"/>
    <mergeCell ref="C49:D49"/>
    <mergeCell ref="C50:D50"/>
    <mergeCell ref="C52:D52"/>
    <mergeCell ref="C38:D38"/>
    <mergeCell ref="C40:D40"/>
    <mergeCell ref="C41:D41"/>
    <mergeCell ref="C42:D42"/>
    <mergeCell ref="C33:D33"/>
    <mergeCell ref="C34:D34"/>
    <mergeCell ref="C35:D35"/>
    <mergeCell ref="C36:D36"/>
    <mergeCell ref="C37:D37"/>
    <mergeCell ref="C29:D29"/>
    <mergeCell ref="C30:D30"/>
    <mergeCell ref="C77:D77"/>
    <mergeCell ref="C54:D54"/>
    <mergeCell ref="C55:D55"/>
    <mergeCell ref="C56:D56"/>
    <mergeCell ref="C57:D57"/>
    <mergeCell ref="C60:G60"/>
    <mergeCell ref="C64:D64"/>
    <mergeCell ref="D62:F62"/>
    <mergeCell ref="C65:D65"/>
    <mergeCell ref="C66:D66"/>
    <mergeCell ref="C67:D67"/>
    <mergeCell ref="C68:D68"/>
    <mergeCell ref="C69:D69"/>
    <mergeCell ref="C75:D75"/>
    <mergeCell ref="C76:D76"/>
    <mergeCell ref="C70:D70"/>
  </mergeCells>
  <pageMargins left="0.7" right="0.7" top="0.75" bottom="0.75" header="0.3" footer="0.3"/>
  <pageSetup scale="72" orientation="portrait" r:id="rId1"/>
  <headerFooter>
    <oddFooter>&amp;LForm 5
Project Schedule&amp;CCFA Forms&amp;REdition: 2015
Version: 1.1</oddFooter>
  </headerFooter>
  <rowBreaks count="1" manualBreakCount="1">
    <brk id="58" min="1"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Q116"/>
  <sheetViews>
    <sheetView showGridLines="0" zoomScaleNormal="100" zoomScaleSheetLayoutView="100" workbookViewId="0">
      <selection activeCell="F11" sqref="F11"/>
    </sheetView>
  </sheetViews>
  <sheetFormatPr defaultRowHeight="15" x14ac:dyDescent="0.25"/>
  <cols>
    <col min="1" max="2" width="1.7109375" style="838" customWidth="1"/>
    <col min="3" max="3" width="2.85546875" style="838" customWidth="1"/>
    <col min="4" max="4" width="5.7109375" style="838" customWidth="1"/>
    <col min="5" max="5" width="8.5703125" style="838" customWidth="1"/>
    <col min="6" max="6" width="12.85546875" style="838" customWidth="1"/>
    <col min="7" max="7" width="10.7109375" style="838" customWidth="1"/>
    <col min="8" max="8" width="1.42578125" style="838" customWidth="1"/>
    <col min="9" max="9" width="7.85546875" style="838" customWidth="1"/>
    <col min="10" max="11" width="11.42578125" style="838" customWidth="1"/>
    <col min="12" max="13" width="10.42578125" style="838" bestFit="1" customWidth="1"/>
    <col min="14" max="14" width="10.85546875" style="838" customWidth="1"/>
    <col min="15" max="15" width="10.42578125" style="838" bestFit="1" customWidth="1"/>
    <col min="16" max="16" width="10.42578125" style="838" customWidth="1"/>
    <col min="17" max="17" width="1.7109375" style="838" customWidth="1"/>
    <col min="18" max="16384" width="9.140625" style="838"/>
  </cols>
  <sheetData>
    <row r="5" spans="2:17" ht="9" customHeight="1" thickBot="1" x14ac:dyDescent="0.3"/>
    <row r="6" spans="2:17" ht="9" customHeight="1" x14ac:dyDescent="0.25">
      <c r="B6" s="1070"/>
      <c r="C6" s="1071"/>
      <c r="D6" s="1071"/>
      <c r="E6" s="1071"/>
      <c r="F6" s="1071"/>
      <c r="G6" s="1071"/>
      <c r="H6" s="1071"/>
      <c r="I6" s="892"/>
      <c r="J6" s="892"/>
      <c r="K6" s="892"/>
      <c r="L6" s="892"/>
      <c r="M6" s="1071"/>
      <c r="N6" s="83"/>
      <c r="O6" s="83"/>
      <c r="P6" s="83"/>
      <c r="Q6" s="84"/>
    </row>
    <row r="7" spans="2:17" ht="18.75" x14ac:dyDescent="0.3">
      <c r="B7" s="1072"/>
      <c r="C7" s="2106" t="s">
        <v>1392</v>
      </c>
      <c r="D7" s="2106"/>
      <c r="E7" s="2106"/>
      <c r="F7" s="2106"/>
      <c r="G7" s="2106"/>
      <c r="H7" s="2106"/>
      <c r="I7" s="2106"/>
      <c r="J7" s="2106"/>
      <c r="K7" s="2106"/>
      <c r="L7" s="2106"/>
      <c r="M7" s="2106"/>
      <c r="N7" s="2106"/>
      <c r="O7" s="2106"/>
      <c r="P7" s="2106"/>
      <c r="Q7" s="90"/>
    </row>
    <row r="8" spans="2:17" ht="15" customHeight="1" x14ac:dyDescent="0.25">
      <c r="B8" s="1072"/>
      <c r="C8" s="133"/>
      <c r="D8" s="133"/>
      <c r="E8" s="133"/>
      <c r="F8" s="133"/>
      <c r="G8" s="133"/>
      <c r="H8" s="133"/>
      <c r="I8" s="897"/>
      <c r="J8" s="814"/>
      <c r="K8" s="897"/>
      <c r="L8" s="897"/>
      <c r="M8" s="133"/>
      <c r="N8" s="42"/>
      <c r="O8" s="42"/>
      <c r="P8" s="42"/>
      <c r="Q8" s="90"/>
    </row>
    <row r="9" spans="2:17" x14ac:dyDescent="0.25">
      <c r="B9" s="1073"/>
      <c r="C9" s="814"/>
      <c r="D9" s="257" t="s">
        <v>59</v>
      </c>
      <c r="E9" s="1074"/>
      <c r="F9" s="270" t="str">
        <f>IF('1A'!G5="","Enter Project Name on Form 1A",'1A'!G5)</f>
        <v>University District Apartments</v>
      </c>
      <c r="G9" s="270"/>
      <c r="H9" s="270"/>
      <c r="I9" s="270"/>
      <c r="J9" s="270"/>
      <c r="K9" s="270"/>
      <c r="L9" s="258"/>
      <c r="M9" s="110"/>
      <c r="N9" s="133"/>
      <c r="O9" s="133"/>
      <c r="P9" s="133"/>
      <c r="Q9" s="1075"/>
    </row>
    <row r="10" spans="2:17" ht="7.5" customHeight="1" thickBot="1" x14ac:dyDescent="0.3">
      <c r="B10" s="1073"/>
      <c r="C10" s="110"/>
      <c r="D10" s="41"/>
      <c r="E10" s="1074"/>
      <c r="F10" s="1074"/>
      <c r="G10" s="1074"/>
      <c r="H10" s="1074"/>
      <c r="I10" s="1074"/>
      <c r="J10" s="1074"/>
      <c r="K10" s="110"/>
      <c r="L10" s="1074"/>
      <c r="M10" s="110"/>
      <c r="N10" s="133"/>
      <c r="O10" s="133"/>
      <c r="P10" s="133"/>
      <c r="Q10" s="1075"/>
    </row>
    <row r="11" spans="2:17" ht="15" customHeight="1" x14ac:dyDescent="0.25">
      <c r="B11" s="1072"/>
      <c r="C11" s="814"/>
      <c r="D11" s="271" t="s">
        <v>161</v>
      </c>
      <c r="E11" s="1074"/>
      <c r="F11" s="2053">
        <f>IF('6A - 4%'!F15="","",'6A - 4%'!F15)</f>
        <v>42628</v>
      </c>
      <c r="G11" s="897"/>
      <c r="H11" s="897"/>
      <c r="I11" s="2260" t="s">
        <v>162</v>
      </c>
      <c r="J11" s="2260" t="s">
        <v>163</v>
      </c>
      <c r="K11" s="2251" t="str">
        <f>IF('1A'!G29="","Site 1",'1A'!G29)</f>
        <v>Project A-  4%</v>
      </c>
      <c r="L11" s="2252"/>
      <c r="M11" s="2252"/>
      <c r="N11" s="2253" t="str">
        <f>IF('1A'!G44="","Site 2",'1A'!G44)</f>
        <v>Project B - 9%</v>
      </c>
      <c r="O11" s="2254"/>
      <c r="P11" s="2255"/>
      <c r="Q11" s="1075"/>
    </row>
    <row r="12" spans="2:17" ht="15" customHeight="1" x14ac:dyDescent="0.25">
      <c r="B12" s="1072"/>
      <c r="C12" s="110"/>
      <c r="D12" s="1074"/>
      <c r="E12" s="1074"/>
      <c r="F12" s="1074"/>
      <c r="G12" s="1074"/>
      <c r="H12" s="1074"/>
      <c r="I12" s="2261"/>
      <c r="J12" s="2261"/>
      <c r="K12" s="2265" t="s">
        <v>1395</v>
      </c>
      <c r="L12" s="2256" t="s">
        <v>1393</v>
      </c>
      <c r="M12" s="2258" t="s">
        <v>1394</v>
      </c>
      <c r="N12" s="2265" t="s">
        <v>1395</v>
      </c>
      <c r="O12" s="2256" t="s">
        <v>1393</v>
      </c>
      <c r="P12" s="2263" t="s">
        <v>1394</v>
      </c>
      <c r="Q12" s="1075"/>
    </row>
    <row r="13" spans="2:17" ht="15.75" thickBot="1" x14ac:dyDescent="0.3">
      <c r="B13" s="1072"/>
      <c r="C13" s="110"/>
      <c r="D13" s="1074"/>
      <c r="E13" s="136"/>
      <c r="F13" s="136"/>
      <c r="G13" s="136"/>
      <c r="H13" s="136"/>
      <c r="I13" s="2262"/>
      <c r="J13" s="2262"/>
      <c r="K13" s="2266"/>
      <c r="L13" s="2257"/>
      <c r="M13" s="2259"/>
      <c r="N13" s="2266"/>
      <c r="O13" s="2257"/>
      <c r="P13" s="2264"/>
      <c r="Q13" s="896"/>
    </row>
    <row r="14" spans="2:17" ht="15.75" thickBot="1" x14ac:dyDescent="0.3">
      <c r="B14" s="1072"/>
      <c r="C14" s="143" t="s">
        <v>168</v>
      </c>
      <c r="D14" s="143"/>
      <c r="E14" s="143"/>
      <c r="F14" s="143"/>
      <c r="G14" s="143"/>
      <c r="H14" s="112"/>
      <c r="I14" s="112"/>
      <c r="J14" s="112"/>
      <c r="K14" s="112"/>
      <c r="L14" s="1074"/>
      <c r="M14" s="110"/>
      <c r="N14" s="133"/>
      <c r="O14" s="1081"/>
      <c r="P14" s="1081"/>
      <c r="Q14" s="896"/>
    </row>
    <row r="15" spans="2:17" x14ac:dyDescent="0.25">
      <c r="B15" s="1072"/>
      <c r="C15" s="110"/>
      <c r="D15" s="259" t="s">
        <v>169</v>
      </c>
      <c r="E15" s="259"/>
      <c r="F15" s="259"/>
      <c r="G15" s="259"/>
      <c r="H15" s="259"/>
      <c r="I15" s="702">
        <f>IFERROR(J15/J$113," ")</f>
        <v>0.10017033468820423</v>
      </c>
      <c r="J15" s="96">
        <f t="shared" ref="J15:J20" si="0">K15+N15</f>
        <v>3999999</v>
      </c>
      <c r="K15" s="65">
        <f t="shared" ref="K15:K20" si="1">SUM(L15:M15)</f>
        <v>2360055</v>
      </c>
      <c r="L15" s="1971">
        <f>'6A - 4%'!K20</f>
        <v>2360055</v>
      </c>
      <c r="M15" s="1972">
        <f>'6A - 4%'!S20</f>
        <v>0</v>
      </c>
      <c r="N15" s="1843">
        <f t="shared" ref="N15:N20" si="2">SUM(O15:P15)</f>
        <v>1639944</v>
      </c>
      <c r="O15" s="1973">
        <f>'6A - 9%'!K20</f>
        <v>1567551</v>
      </c>
      <c r="P15" s="1974">
        <f>'6A - 9%'!T20</f>
        <v>72393</v>
      </c>
      <c r="Q15" s="896"/>
    </row>
    <row r="16" spans="2:17" x14ac:dyDescent="0.25">
      <c r="B16" s="1072"/>
      <c r="C16" s="110"/>
      <c r="D16" s="261" t="s">
        <v>170</v>
      </c>
      <c r="E16" s="261"/>
      <c r="F16" s="261"/>
      <c r="G16" s="261"/>
      <c r="H16" s="261"/>
      <c r="I16" s="703">
        <f t="shared" ref="I16:I21" si="3">IFERROR(J16/J$113," ")</f>
        <v>0</v>
      </c>
      <c r="J16" s="97">
        <f t="shared" si="0"/>
        <v>0</v>
      </c>
      <c r="K16" s="63">
        <f t="shared" si="1"/>
        <v>0</v>
      </c>
      <c r="L16" s="1975">
        <f>'6A - 4%'!K21</f>
        <v>0</v>
      </c>
      <c r="M16" s="1976">
        <f>'6A - 4%'!S21</f>
        <v>0</v>
      </c>
      <c r="N16" s="1844">
        <f t="shared" si="2"/>
        <v>0</v>
      </c>
      <c r="O16" s="1977">
        <f>'6A - 9%'!K21</f>
        <v>0</v>
      </c>
      <c r="P16" s="1978">
        <f>'6A - 9%'!T21</f>
        <v>0</v>
      </c>
      <c r="Q16" s="896"/>
    </row>
    <row r="17" spans="2:17" x14ac:dyDescent="0.25">
      <c r="B17" s="1072"/>
      <c r="C17" s="110"/>
      <c r="D17" s="109" t="s">
        <v>171</v>
      </c>
      <c r="E17" s="109"/>
      <c r="F17" s="109"/>
      <c r="G17" s="109"/>
      <c r="H17" s="109"/>
      <c r="I17" s="703">
        <f t="shared" si="3"/>
        <v>6.3858604328381275E-3</v>
      </c>
      <c r="J17" s="97">
        <f t="shared" si="0"/>
        <v>255000</v>
      </c>
      <c r="K17" s="63">
        <f t="shared" si="1"/>
        <v>150454</v>
      </c>
      <c r="L17" s="1975">
        <f>'6A - 4%'!K22</f>
        <v>150454</v>
      </c>
      <c r="M17" s="1976">
        <f>'6A - 4%'!S22</f>
        <v>0</v>
      </c>
      <c r="N17" s="1844">
        <f t="shared" si="2"/>
        <v>104546</v>
      </c>
      <c r="O17" s="1977">
        <f>'6A - 9%'!K22</f>
        <v>99931</v>
      </c>
      <c r="P17" s="1978">
        <f>'6A - 9%'!T22</f>
        <v>4615</v>
      </c>
      <c r="Q17" s="896"/>
    </row>
    <row r="18" spans="2:17" x14ac:dyDescent="0.25">
      <c r="B18" s="1072"/>
      <c r="C18" s="110"/>
      <c r="D18" s="109" t="s">
        <v>172</v>
      </c>
      <c r="E18" s="109"/>
      <c r="F18" s="109"/>
      <c r="G18" s="109"/>
      <c r="H18" s="109"/>
      <c r="I18" s="703">
        <f t="shared" si="3"/>
        <v>1.0017286398978744E-3</v>
      </c>
      <c r="J18" s="97">
        <f t="shared" si="0"/>
        <v>40001</v>
      </c>
      <c r="K18" s="63">
        <f t="shared" si="1"/>
        <v>23601</v>
      </c>
      <c r="L18" s="1975">
        <f>'6A - 4%'!K23</f>
        <v>23601</v>
      </c>
      <c r="M18" s="1976">
        <f>'6A - 4%'!S23</f>
        <v>0</v>
      </c>
      <c r="N18" s="1844">
        <f t="shared" si="2"/>
        <v>16400</v>
      </c>
      <c r="O18" s="1977">
        <f>'6A - 9%'!K23</f>
        <v>15676</v>
      </c>
      <c r="P18" s="1978">
        <f>'6A - 9%'!T23</f>
        <v>724</v>
      </c>
      <c r="Q18" s="896"/>
    </row>
    <row r="19" spans="2:17" x14ac:dyDescent="0.25">
      <c r="B19" s="1072"/>
      <c r="C19" s="110"/>
      <c r="D19" s="115" t="s">
        <v>173</v>
      </c>
      <c r="E19" s="115"/>
      <c r="F19" s="115"/>
      <c r="G19" s="115"/>
      <c r="H19" s="115"/>
      <c r="I19" s="703">
        <f t="shared" si="3"/>
        <v>0</v>
      </c>
      <c r="J19" s="97">
        <f t="shared" si="0"/>
        <v>0</v>
      </c>
      <c r="K19" s="63">
        <f t="shared" si="1"/>
        <v>0</v>
      </c>
      <c r="L19" s="1975">
        <f>'6A - 4%'!K24</f>
        <v>0</v>
      </c>
      <c r="M19" s="1976">
        <f>'6A - 4%'!S24</f>
        <v>0</v>
      </c>
      <c r="N19" s="1844">
        <f t="shared" si="2"/>
        <v>0</v>
      </c>
      <c r="O19" s="1977">
        <f>'6A - 9%'!K24</f>
        <v>0</v>
      </c>
      <c r="P19" s="1978">
        <f>'6A - 9%'!T24</f>
        <v>0</v>
      </c>
      <c r="Q19" s="896"/>
    </row>
    <row r="20" spans="2:17" x14ac:dyDescent="0.25">
      <c r="B20" s="1072"/>
      <c r="C20" s="110"/>
      <c r="D20" s="115" t="s">
        <v>247</v>
      </c>
      <c r="E20" s="114"/>
      <c r="F20" s="114"/>
      <c r="G20" s="114"/>
      <c r="H20" s="269"/>
      <c r="I20" s="703">
        <f t="shared" si="3"/>
        <v>0</v>
      </c>
      <c r="J20" s="98">
        <f t="shared" si="0"/>
        <v>0</v>
      </c>
      <c r="K20" s="64">
        <f t="shared" si="1"/>
        <v>0</v>
      </c>
      <c r="L20" s="1979">
        <f>'6A - 4%'!K25</f>
        <v>0</v>
      </c>
      <c r="M20" s="1980">
        <f>'6A - 4%'!S25</f>
        <v>0</v>
      </c>
      <c r="N20" s="1845">
        <f t="shared" si="2"/>
        <v>0</v>
      </c>
      <c r="O20" s="1981">
        <f>'6A - 9%'!K25</f>
        <v>0</v>
      </c>
      <c r="P20" s="1982">
        <f>'6A - 9%'!T25</f>
        <v>0</v>
      </c>
      <c r="Q20" s="896"/>
    </row>
    <row r="21" spans="2:17" ht="15.75" thickBot="1" x14ac:dyDescent="0.3">
      <c r="B21" s="1072"/>
      <c r="C21" s="110"/>
      <c r="D21" s="109"/>
      <c r="E21" s="109"/>
      <c r="F21" s="109"/>
      <c r="G21" s="113" t="s">
        <v>174</v>
      </c>
      <c r="H21" s="113"/>
      <c r="I21" s="704">
        <f t="shared" si="3"/>
        <v>0.10755792376094023</v>
      </c>
      <c r="J21" s="99">
        <f t="shared" ref="J21:P21" si="4">SUM(J15:J20)</f>
        <v>4295000</v>
      </c>
      <c r="K21" s="60">
        <f t="shared" si="4"/>
        <v>2534110</v>
      </c>
      <c r="L21" s="1086">
        <f t="shared" si="4"/>
        <v>2534110</v>
      </c>
      <c r="M21" s="1087">
        <f t="shared" si="4"/>
        <v>0</v>
      </c>
      <c r="N21" s="1846">
        <f t="shared" si="4"/>
        <v>1760890</v>
      </c>
      <c r="O21" s="1086">
        <f t="shared" si="4"/>
        <v>1683158</v>
      </c>
      <c r="P21" s="1090">
        <f t="shared" si="4"/>
        <v>77732</v>
      </c>
      <c r="Q21" s="896"/>
    </row>
    <row r="22" spans="2:17" ht="3.75" customHeight="1" x14ac:dyDescent="0.25">
      <c r="B22" s="1072"/>
      <c r="C22" s="109"/>
      <c r="D22" s="109"/>
      <c r="E22" s="109"/>
      <c r="F22" s="109"/>
      <c r="G22" s="109"/>
      <c r="H22" s="109"/>
      <c r="I22" s="1074"/>
      <c r="J22" s="1091"/>
      <c r="K22" s="110"/>
      <c r="L22" s="40"/>
      <c r="M22" s="40"/>
      <c r="N22" s="40"/>
      <c r="O22" s="40"/>
      <c r="P22" s="40"/>
      <c r="Q22" s="896"/>
    </row>
    <row r="23" spans="2:17" ht="15.75" thickBot="1" x14ac:dyDescent="0.3">
      <c r="B23" s="1072"/>
      <c r="C23" s="143" t="s">
        <v>175</v>
      </c>
      <c r="D23" s="143"/>
      <c r="E23" s="143"/>
      <c r="F23" s="143"/>
      <c r="G23" s="143"/>
      <c r="H23" s="112"/>
      <c r="I23" s="112"/>
      <c r="J23" s="112"/>
      <c r="K23" s="112"/>
      <c r="L23" s="1074"/>
      <c r="M23" s="110"/>
      <c r="N23" s="133"/>
      <c r="O23" s="1081"/>
      <c r="P23" s="1081"/>
      <c r="Q23" s="896"/>
    </row>
    <row r="24" spans="2:17" x14ac:dyDescent="0.25">
      <c r="B24" s="1072"/>
      <c r="C24" s="110"/>
      <c r="D24" s="263" t="s">
        <v>176</v>
      </c>
      <c r="E24" s="263"/>
      <c r="F24" s="263"/>
      <c r="G24" s="263"/>
      <c r="H24" s="263"/>
      <c r="I24" s="702">
        <f t="shared" ref="I24:I40" si="5">IFERROR(J24/J$113," ")</f>
        <v>2.1200305359324605E-3</v>
      </c>
      <c r="J24" s="96">
        <f t="shared" ref="J24:J39" si="6">K24+N24</f>
        <v>84657</v>
      </c>
      <c r="K24" s="57">
        <f t="shared" ref="K24:K39" si="7">SUM(L24:M24)</f>
        <v>49949</v>
      </c>
      <c r="L24" s="1983">
        <f>'6A - 4%'!K29</f>
        <v>49949</v>
      </c>
      <c r="M24" s="1984">
        <f>'6A - 4%'!S29</f>
        <v>0</v>
      </c>
      <c r="N24" s="1847">
        <f t="shared" ref="N24:N39" si="8">SUM(O24:P24)</f>
        <v>34708</v>
      </c>
      <c r="O24" s="1973">
        <f>'6A - 9%'!K29</f>
        <v>33176</v>
      </c>
      <c r="P24" s="1974">
        <f>'6A - 9%'!T29</f>
        <v>1532</v>
      </c>
      <c r="Q24" s="896"/>
    </row>
    <row r="25" spans="2:17" x14ac:dyDescent="0.25">
      <c r="B25" s="1072"/>
      <c r="C25" s="110"/>
      <c r="D25" s="109" t="s">
        <v>177</v>
      </c>
      <c r="E25" s="109"/>
      <c r="F25" s="109"/>
      <c r="G25" s="109"/>
      <c r="H25" s="109"/>
      <c r="I25" s="703">
        <f t="shared" si="5"/>
        <v>0.56629264389947986</v>
      </c>
      <c r="J25" s="97">
        <f t="shared" si="6"/>
        <v>22613182</v>
      </c>
      <c r="K25" s="45">
        <f t="shared" si="7"/>
        <v>12629323</v>
      </c>
      <c r="L25" s="1977">
        <f>'6A - 4%'!K30</f>
        <v>12629323</v>
      </c>
      <c r="M25" s="1985">
        <f>'6A - 4%'!S30</f>
        <v>0</v>
      </c>
      <c r="N25" s="1844">
        <f t="shared" si="8"/>
        <v>9983859</v>
      </c>
      <c r="O25" s="1977">
        <f>'6A - 9%'!K30</f>
        <v>9753626</v>
      </c>
      <c r="P25" s="1978">
        <f>'6A - 9%'!T30</f>
        <v>230233</v>
      </c>
      <c r="Q25" s="896"/>
    </row>
    <row r="26" spans="2:17" x14ac:dyDescent="0.25">
      <c r="B26" s="1072"/>
      <c r="C26" s="110"/>
      <c r="D26" s="109" t="s">
        <v>178</v>
      </c>
      <c r="E26" s="109"/>
      <c r="F26" s="109"/>
      <c r="G26" s="109"/>
      <c r="H26" s="109"/>
      <c r="I26" s="703">
        <f t="shared" si="5"/>
        <v>0</v>
      </c>
      <c r="J26" s="97">
        <f t="shared" si="6"/>
        <v>0</v>
      </c>
      <c r="K26" s="45">
        <f t="shared" si="7"/>
        <v>0</v>
      </c>
      <c r="L26" s="1977">
        <f>'6A - 4%'!K31</f>
        <v>0</v>
      </c>
      <c r="M26" s="1985">
        <f>'6A - 4%'!S31</f>
        <v>0</v>
      </c>
      <c r="N26" s="1844">
        <f t="shared" si="8"/>
        <v>0</v>
      </c>
      <c r="O26" s="1977">
        <f>'6A - 9%'!K31</f>
        <v>0</v>
      </c>
      <c r="P26" s="1978">
        <f>'6A - 9%'!T31</f>
        <v>0</v>
      </c>
      <c r="Q26" s="896"/>
    </row>
    <row r="27" spans="2:17" x14ac:dyDescent="0.25">
      <c r="B27" s="1072"/>
      <c r="C27" s="110"/>
      <c r="D27" s="109" t="s">
        <v>179</v>
      </c>
      <c r="E27" s="109"/>
      <c r="F27" s="109"/>
      <c r="G27" s="109"/>
      <c r="H27" s="109"/>
      <c r="I27" s="703">
        <f t="shared" si="5"/>
        <v>0</v>
      </c>
      <c r="J27" s="97">
        <f t="shared" si="6"/>
        <v>0</v>
      </c>
      <c r="K27" s="45">
        <f t="shared" si="7"/>
        <v>0</v>
      </c>
      <c r="L27" s="1977">
        <f>'6A - 4%'!K32</f>
        <v>0</v>
      </c>
      <c r="M27" s="1985">
        <f>'6A - 4%'!S32</f>
        <v>0</v>
      </c>
      <c r="N27" s="1844">
        <f t="shared" si="8"/>
        <v>0</v>
      </c>
      <c r="O27" s="1977">
        <f>'6A - 9%'!K32</f>
        <v>0</v>
      </c>
      <c r="P27" s="1978">
        <f>'6A - 9%'!T32</f>
        <v>0</v>
      </c>
      <c r="Q27" s="896"/>
    </row>
    <row r="28" spans="2:17" x14ac:dyDescent="0.25">
      <c r="B28" s="1072"/>
      <c r="C28" s="110"/>
      <c r="D28" s="109" t="s">
        <v>180</v>
      </c>
      <c r="E28" s="109"/>
      <c r="F28" s="109"/>
      <c r="G28" s="109"/>
      <c r="H28" s="109"/>
      <c r="I28" s="703">
        <f t="shared" si="5"/>
        <v>0</v>
      </c>
      <c r="J28" s="97">
        <f t="shared" si="6"/>
        <v>0</v>
      </c>
      <c r="K28" s="45">
        <f t="shared" si="7"/>
        <v>0</v>
      </c>
      <c r="L28" s="1977">
        <f>'6A - 4%'!K33</f>
        <v>0</v>
      </c>
      <c r="M28" s="1985">
        <f>'6A - 4%'!S33</f>
        <v>0</v>
      </c>
      <c r="N28" s="1844">
        <f t="shared" si="8"/>
        <v>0</v>
      </c>
      <c r="O28" s="1977">
        <f>'6A - 9%'!K33</f>
        <v>0</v>
      </c>
      <c r="P28" s="1978">
        <f>'6A - 9%'!T33</f>
        <v>0</v>
      </c>
      <c r="Q28" s="896"/>
    </row>
    <row r="29" spans="2:17" x14ac:dyDescent="0.25">
      <c r="B29" s="1072"/>
      <c r="C29" s="110"/>
      <c r="D29" s="109" t="s">
        <v>647</v>
      </c>
      <c r="E29" s="109"/>
      <c r="F29" s="109"/>
      <c r="G29" s="701">
        <f>IFERROR(J29/(J25+J27+J28+J37),"")</f>
        <v>5.5586300806673948E-2</v>
      </c>
      <c r="H29" s="118"/>
      <c r="I29" s="703">
        <f t="shared" si="5"/>
        <v>3.1678175072345535E-2</v>
      </c>
      <c r="J29" s="97">
        <f t="shared" si="6"/>
        <v>1264972</v>
      </c>
      <c r="K29" s="45">
        <f t="shared" si="7"/>
        <v>705488</v>
      </c>
      <c r="L29" s="1977">
        <f>'6A - 4%'!K34</f>
        <v>705488</v>
      </c>
      <c r="M29" s="1985">
        <f>'6A - 4%'!S34</f>
        <v>0</v>
      </c>
      <c r="N29" s="1844">
        <f t="shared" si="8"/>
        <v>559484</v>
      </c>
      <c r="O29" s="1977">
        <f>'6A - 9%'!K34</f>
        <v>543400</v>
      </c>
      <c r="P29" s="1978">
        <f>'6A - 9%'!T34</f>
        <v>16084</v>
      </c>
      <c r="Q29" s="896"/>
    </row>
    <row r="30" spans="2:17" x14ac:dyDescent="0.25">
      <c r="B30" s="1072"/>
      <c r="C30" s="110"/>
      <c r="D30" s="109" t="s">
        <v>182</v>
      </c>
      <c r="E30" s="109"/>
      <c r="F30" s="109"/>
      <c r="G30" s="701">
        <f>IFERROR(J30/(J26+J27+J28+J37),"")</f>
        <v>0</v>
      </c>
      <c r="H30" s="118"/>
      <c r="I30" s="703">
        <f t="shared" si="5"/>
        <v>0</v>
      </c>
      <c r="J30" s="97">
        <f t="shared" si="6"/>
        <v>0</v>
      </c>
      <c r="K30" s="45">
        <f t="shared" si="7"/>
        <v>0</v>
      </c>
      <c r="L30" s="1977">
        <f>'6A - 4%'!K35</f>
        <v>0</v>
      </c>
      <c r="M30" s="1985">
        <f>'6A - 4%'!S35</f>
        <v>0</v>
      </c>
      <c r="N30" s="1844">
        <f t="shared" si="8"/>
        <v>0</v>
      </c>
      <c r="O30" s="1977">
        <f>'6A - 9%'!K35</f>
        <v>0</v>
      </c>
      <c r="P30" s="1978">
        <f>'6A - 9%'!T35</f>
        <v>0</v>
      </c>
      <c r="Q30" s="896"/>
    </row>
    <row r="31" spans="2:17" x14ac:dyDescent="0.25">
      <c r="B31" s="1072"/>
      <c r="C31" s="110"/>
      <c r="D31" s="109" t="s">
        <v>183</v>
      </c>
      <c r="E31" s="109"/>
      <c r="F31" s="109"/>
      <c r="G31" s="109"/>
      <c r="H31" s="109"/>
      <c r="I31" s="703">
        <f t="shared" si="5"/>
        <v>0</v>
      </c>
      <c r="J31" s="97">
        <f t="shared" si="6"/>
        <v>0</v>
      </c>
      <c r="K31" s="45">
        <f t="shared" si="7"/>
        <v>0</v>
      </c>
      <c r="L31" s="1977">
        <f>'6A - 4%'!K36</f>
        <v>0</v>
      </c>
      <c r="M31" s="1985">
        <f>'6A - 4%'!S36</f>
        <v>0</v>
      </c>
      <c r="N31" s="1844">
        <f t="shared" si="8"/>
        <v>0</v>
      </c>
      <c r="O31" s="1977">
        <f>'6A - 9%'!K36</f>
        <v>0</v>
      </c>
      <c r="P31" s="1978">
        <f>'6A - 9%'!T36</f>
        <v>0</v>
      </c>
      <c r="Q31" s="896"/>
    </row>
    <row r="32" spans="2:17" x14ac:dyDescent="0.25">
      <c r="B32" s="1072"/>
      <c r="C32" s="110"/>
      <c r="D32" s="109" t="s">
        <v>184</v>
      </c>
      <c r="E32" s="109"/>
      <c r="F32" s="109"/>
      <c r="G32" s="109"/>
      <c r="H32" s="109"/>
      <c r="I32" s="703">
        <f t="shared" si="5"/>
        <v>3.1303237415873176E-3</v>
      </c>
      <c r="J32" s="97">
        <f t="shared" si="6"/>
        <v>125000</v>
      </c>
      <c r="K32" s="45">
        <f t="shared" si="7"/>
        <v>73752</v>
      </c>
      <c r="L32" s="1977">
        <f>'6A - 4%'!K37</f>
        <v>73752</v>
      </c>
      <c r="M32" s="1985">
        <f>'6A - 4%'!S37</f>
        <v>0</v>
      </c>
      <c r="N32" s="1844">
        <f t="shared" si="8"/>
        <v>51248</v>
      </c>
      <c r="O32" s="1977">
        <f>'6A - 9%'!K37</f>
        <v>48986</v>
      </c>
      <c r="P32" s="1978">
        <f>'6A - 9%'!T37</f>
        <v>2262</v>
      </c>
      <c r="Q32" s="896"/>
    </row>
    <row r="33" spans="2:17" x14ac:dyDescent="0.25">
      <c r="B33" s="1072"/>
      <c r="C33" s="110"/>
      <c r="D33" s="109" t="s">
        <v>185</v>
      </c>
      <c r="E33" s="109"/>
      <c r="F33" s="109"/>
      <c r="G33" s="109"/>
      <c r="H33" s="109"/>
      <c r="I33" s="703">
        <f t="shared" si="5"/>
        <v>0</v>
      </c>
      <c r="J33" s="97">
        <f t="shared" si="6"/>
        <v>0</v>
      </c>
      <c r="K33" s="45">
        <f t="shared" si="7"/>
        <v>0</v>
      </c>
      <c r="L33" s="1977">
        <f>'6A - 4%'!K38</f>
        <v>0</v>
      </c>
      <c r="M33" s="1985">
        <f>'6A - 4%'!S38</f>
        <v>0</v>
      </c>
      <c r="N33" s="1844">
        <f t="shared" si="8"/>
        <v>0</v>
      </c>
      <c r="O33" s="1977">
        <f>'6A - 9%'!K38</f>
        <v>0</v>
      </c>
      <c r="P33" s="1978">
        <f>'6A - 9%'!T38</f>
        <v>0</v>
      </c>
      <c r="Q33" s="896"/>
    </row>
    <row r="34" spans="2:17" x14ac:dyDescent="0.25">
      <c r="B34" s="1072"/>
      <c r="C34" s="110"/>
      <c r="D34" s="109" t="s">
        <v>186</v>
      </c>
      <c r="E34" s="109"/>
      <c r="F34" s="109"/>
      <c r="G34" s="109"/>
      <c r="H34" s="109"/>
      <c r="I34" s="703">
        <f t="shared" si="5"/>
        <v>0</v>
      </c>
      <c r="J34" s="97">
        <f t="shared" si="6"/>
        <v>0</v>
      </c>
      <c r="K34" s="45">
        <f t="shared" si="7"/>
        <v>0</v>
      </c>
      <c r="L34" s="1977">
        <f>'6A - 4%'!K39</f>
        <v>0</v>
      </c>
      <c r="M34" s="1985">
        <f>'6A - 4%'!S39</f>
        <v>0</v>
      </c>
      <c r="N34" s="1844">
        <f t="shared" si="8"/>
        <v>0</v>
      </c>
      <c r="O34" s="1977">
        <f>'6A - 9%'!K39</f>
        <v>0</v>
      </c>
      <c r="P34" s="1978">
        <f>'6A - 9%'!T39</f>
        <v>0</v>
      </c>
      <c r="Q34" s="896"/>
    </row>
    <row r="35" spans="2:17" x14ac:dyDescent="0.25">
      <c r="B35" s="1072"/>
      <c r="C35" s="110"/>
      <c r="D35" s="109" t="s">
        <v>187</v>
      </c>
      <c r="E35" s="109"/>
      <c r="F35" s="109"/>
      <c r="G35" s="109"/>
      <c r="H35" s="109"/>
      <c r="I35" s="703">
        <f t="shared" si="5"/>
        <v>0</v>
      </c>
      <c r="J35" s="97">
        <f t="shared" si="6"/>
        <v>0</v>
      </c>
      <c r="K35" s="45">
        <f t="shared" si="7"/>
        <v>0</v>
      </c>
      <c r="L35" s="1977">
        <f>'6A - 4%'!K40</f>
        <v>0</v>
      </c>
      <c r="M35" s="1985">
        <f>'6A - 4%'!S40</f>
        <v>0</v>
      </c>
      <c r="N35" s="1844">
        <f t="shared" si="8"/>
        <v>0</v>
      </c>
      <c r="O35" s="1977">
        <f>'6A - 9%'!K40</f>
        <v>0</v>
      </c>
      <c r="P35" s="1978">
        <f>'6A - 9%'!T40</f>
        <v>0</v>
      </c>
      <c r="Q35" s="896"/>
    </row>
    <row r="36" spans="2:17" x14ac:dyDescent="0.25">
      <c r="B36" s="1072"/>
      <c r="C36" s="110"/>
      <c r="D36" s="109" t="s">
        <v>188</v>
      </c>
      <c r="E36" s="109"/>
      <c r="F36" s="109"/>
      <c r="G36" s="109"/>
      <c r="H36" s="109"/>
      <c r="I36" s="703">
        <f t="shared" si="5"/>
        <v>5.5494629716759294E-2</v>
      </c>
      <c r="J36" s="97">
        <f t="shared" si="6"/>
        <v>2216010</v>
      </c>
      <c r="K36" s="45">
        <f t="shared" si="7"/>
        <v>1235892</v>
      </c>
      <c r="L36" s="1977">
        <f>'6A - 4%'!K41</f>
        <v>1235892</v>
      </c>
      <c r="M36" s="1985">
        <f>'6A - 4%'!S41</f>
        <v>0</v>
      </c>
      <c r="N36" s="1844">
        <f t="shared" si="8"/>
        <v>980118</v>
      </c>
      <c r="O36" s="1977">
        <f>'6A - 9%'!K41</f>
        <v>951942</v>
      </c>
      <c r="P36" s="1978">
        <f>'6A - 9%'!T41</f>
        <v>28176</v>
      </c>
      <c r="Q36" s="896"/>
    </row>
    <row r="37" spans="2:17" x14ac:dyDescent="0.25">
      <c r="B37" s="1072"/>
      <c r="C37" s="110"/>
      <c r="D37" s="109" t="s">
        <v>189</v>
      </c>
      <c r="E37" s="109"/>
      <c r="F37" s="109"/>
      <c r="G37" s="109"/>
      <c r="H37" s="109"/>
      <c r="I37" s="703">
        <f t="shared" si="5"/>
        <v>3.5991210251274343E-3</v>
      </c>
      <c r="J37" s="97">
        <f t="shared" si="6"/>
        <v>143720</v>
      </c>
      <c r="K37" s="45">
        <f t="shared" si="7"/>
        <v>84797</v>
      </c>
      <c r="L37" s="1977">
        <f>'6A - 4%'!K42</f>
        <v>84797</v>
      </c>
      <c r="M37" s="1985">
        <f>'6A - 4%'!S42</f>
        <v>0</v>
      </c>
      <c r="N37" s="1844">
        <f t="shared" si="8"/>
        <v>58923</v>
      </c>
      <c r="O37" s="1977">
        <f>'6A - 9%'!K42</f>
        <v>56322</v>
      </c>
      <c r="P37" s="1978">
        <f>'6A - 9%'!T42</f>
        <v>2601</v>
      </c>
      <c r="Q37" s="896"/>
    </row>
    <row r="38" spans="2:17" x14ac:dyDescent="0.25">
      <c r="B38" s="1072"/>
      <c r="C38" s="110"/>
      <c r="D38" s="109" t="s">
        <v>190</v>
      </c>
      <c r="E38" s="109"/>
      <c r="F38" s="109"/>
      <c r="G38" s="109"/>
      <c r="H38" s="109"/>
      <c r="I38" s="703">
        <f t="shared" si="5"/>
        <v>1.5025553959619124E-3</v>
      </c>
      <c r="J38" s="97">
        <f t="shared" si="6"/>
        <v>60000</v>
      </c>
      <c r="K38" s="45">
        <f t="shared" si="7"/>
        <v>36053</v>
      </c>
      <c r="L38" s="1977">
        <f>'6A - 4%'!K43</f>
        <v>36053</v>
      </c>
      <c r="M38" s="1985">
        <f>'6A - 4%'!S43</f>
        <v>0</v>
      </c>
      <c r="N38" s="1844">
        <f t="shared" si="8"/>
        <v>23947</v>
      </c>
      <c r="O38" s="1977">
        <f>'6A - 9%'!K43</f>
        <v>23947</v>
      </c>
      <c r="P38" s="1978">
        <f>'6A - 9%'!T43</f>
        <v>0</v>
      </c>
      <c r="Q38" s="896"/>
    </row>
    <row r="39" spans="2:17" x14ac:dyDescent="0.25">
      <c r="B39" s="1072"/>
      <c r="C39" s="110"/>
      <c r="D39" s="115" t="s">
        <v>247</v>
      </c>
      <c r="E39" s="114"/>
      <c r="F39" s="114"/>
      <c r="G39" s="114"/>
      <c r="H39" s="269"/>
      <c r="I39" s="703">
        <f t="shared" si="5"/>
        <v>1.4242973024222296E-3</v>
      </c>
      <c r="J39" s="98">
        <f t="shared" si="6"/>
        <v>56875</v>
      </c>
      <c r="K39" s="62">
        <f t="shared" si="7"/>
        <v>0</v>
      </c>
      <c r="L39" s="1986">
        <f>'6A - 4%'!K44</f>
        <v>0</v>
      </c>
      <c r="M39" s="1987">
        <f>'6A - 4%'!S44</f>
        <v>0</v>
      </c>
      <c r="N39" s="1848">
        <f t="shared" si="8"/>
        <v>56875</v>
      </c>
      <c r="O39" s="1986">
        <f>'6A - 9%'!K44</f>
        <v>0</v>
      </c>
      <c r="P39" s="1988">
        <f>'6A - 9%'!T44</f>
        <v>56875</v>
      </c>
      <c r="Q39" s="896"/>
    </row>
    <row r="40" spans="2:17" ht="15.75" thickBot="1" x14ac:dyDescent="0.3">
      <c r="B40" s="1072"/>
      <c r="C40" s="110"/>
      <c r="D40" s="109"/>
      <c r="E40" s="109"/>
      <c r="F40" s="109"/>
      <c r="G40" s="113" t="s">
        <v>174</v>
      </c>
      <c r="H40" s="113"/>
      <c r="I40" s="704">
        <f t="shared" si="5"/>
        <v>0.66524177668961604</v>
      </c>
      <c r="J40" s="99">
        <f t="shared" ref="J40:P40" si="9">SUM(J24:J39)</f>
        <v>26564416</v>
      </c>
      <c r="K40" s="60">
        <f t="shared" si="9"/>
        <v>14815254</v>
      </c>
      <c r="L40" s="1086">
        <f t="shared" si="9"/>
        <v>14815254</v>
      </c>
      <c r="M40" s="1087">
        <f t="shared" si="9"/>
        <v>0</v>
      </c>
      <c r="N40" s="1846">
        <f t="shared" si="9"/>
        <v>11749162</v>
      </c>
      <c r="O40" s="1086">
        <f t="shared" si="9"/>
        <v>11411399</v>
      </c>
      <c r="P40" s="1090">
        <f t="shared" si="9"/>
        <v>337763</v>
      </c>
      <c r="Q40" s="896"/>
    </row>
    <row r="41" spans="2:17" ht="9" customHeight="1" thickBot="1" x14ac:dyDescent="0.3">
      <c r="B41" s="1092"/>
      <c r="C41" s="85"/>
      <c r="D41" s="85"/>
      <c r="E41" s="85"/>
      <c r="F41" s="85"/>
      <c r="G41" s="85"/>
      <c r="H41" s="85"/>
      <c r="I41" s="916"/>
      <c r="J41" s="1093"/>
      <c r="K41" s="1094"/>
      <c r="L41" s="1095"/>
      <c r="M41" s="86"/>
      <c r="N41" s="86"/>
      <c r="O41" s="1095"/>
      <c r="P41" s="86"/>
      <c r="Q41" s="917"/>
    </row>
    <row r="42" spans="2:17" ht="15.75" thickBot="1" x14ac:dyDescent="0.3">
      <c r="B42" s="1072"/>
      <c r="C42" s="143" t="s">
        <v>191</v>
      </c>
      <c r="D42" s="143"/>
      <c r="E42" s="143"/>
      <c r="F42" s="143"/>
      <c r="G42" s="143"/>
      <c r="H42" s="112"/>
      <c r="I42" s="112"/>
      <c r="J42" s="112"/>
      <c r="K42" s="112"/>
      <c r="L42" s="1074"/>
      <c r="M42" s="110"/>
      <c r="N42" s="133"/>
      <c r="O42" s="1081"/>
      <c r="P42" s="1081"/>
      <c r="Q42" s="896"/>
    </row>
    <row r="43" spans="2:17" x14ac:dyDescent="0.25">
      <c r="B43" s="1072"/>
      <c r="C43" s="110"/>
      <c r="D43" s="263" t="s">
        <v>192</v>
      </c>
      <c r="E43" s="263"/>
      <c r="F43" s="263"/>
      <c r="G43" s="263"/>
      <c r="H43" s="263"/>
      <c r="I43" s="702">
        <f t="shared" ref="I43:I56" si="10">IFERROR(J43/J$113," ")</f>
        <v>3.0051107919238247E-4</v>
      </c>
      <c r="J43" s="96">
        <f t="shared" ref="J43:J55" si="11">K43+N43</f>
        <v>12000</v>
      </c>
      <c r="K43" s="57">
        <f t="shared" ref="K43:K55" si="12">SUM(L43:M43)</f>
        <v>7080</v>
      </c>
      <c r="L43" s="1983">
        <f>'6A - 4%'!K48</f>
        <v>7080</v>
      </c>
      <c r="M43" s="1984">
        <f>'6A - 4%'!S48</f>
        <v>0</v>
      </c>
      <c r="N43" s="1847">
        <f t="shared" ref="N43:N55" si="13">SUM(O43:P43)</f>
        <v>4920</v>
      </c>
      <c r="O43" s="1973">
        <f>'6A - 9%'!K48</f>
        <v>4703</v>
      </c>
      <c r="P43" s="1974">
        <f>'6A - 9%'!T48</f>
        <v>217</v>
      </c>
      <c r="Q43" s="896"/>
    </row>
    <row r="44" spans="2:17" x14ac:dyDescent="0.25">
      <c r="B44" s="1072"/>
      <c r="C44" s="110"/>
      <c r="D44" s="109" t="s">
        <v>193</v>
      </c>
      <c r="E44" s="109"/>
      <c r="F44" s="109"/>
      <c r="G44" s="109"/>
      <c r="H44" s="109"/>
      <c r="I44" s="703">
        <f t="shared" si="10"/>
        <v>1.5025553959619123E-4</v>
      </c>
      <c r="J44" s="97">
        <f t="shared" si="11"/>
        <v>6000</v>
      </c>
      <c r="K44" s="45">
        <f t="shared" si="12"/>
        <v>3605</v>
      </c>
      <c r="L44" s="1977">
        <f>'6A - 4%'!K49</f>
        <v>3605</v>
      </c>
      <c r="M44" s="1985">
        <f>'6A - 4%'!S49</f>
        <v>0</v>
      </c>
      <c r="N44" s="1844">
        <f t="shared" si="13"/>
        <v>2395</v>
      </c>
      <c r="O44" s="1977">
        <f>'6A - 9%'!K49</f>
        <v>2395</v>
      </c>
      <c r="P44" s="1978">
        <f>'6A - 9%'!T49</f>
        <v>0</v>
      </c>
      <c r="Q44" s="896"/>
    </row>
    <row r="45" spans="2:17" x14ac:dyDescent="0.25">
      <c r="B45" s="1072"/>
      <c r="C45" s="110"/>
      <c r="D45" s="109" t="s">
        <v>194</v>
      </c>
      <c r="E45" s="109"/>
      <c r="F45" s="109"/>
      <c r="G45" s="109"/>
      <c r="H45" s="109"/>
      <c r="I45" s="703">
        <f t="shared" si="10"/>
        <v>3.1428425322946735E-2</v>
      </c>
      <c r="J45" s="97">
        <f t="shared" si="11"/>
        <v>1254999</v>
      </c>
      <c r="K45" s="45">
        <f t="shared" si="12"/>
        <v>740467</v>
      </c>
      <c r="L45" s="1977">
        <f>'6A - 4%'!K50</f>
        <v>740467</v>
      </c>
      <c r="M45" s="1985">
        <f>'6A - 4%'!S50</f>
        <v>0</v>
      </c>
      <c r="N45" s="1844">
        <f t="shared" si="13"/>
        <v>514532</v>
      </c>
      <c r="O45" s="1977">
        <f>'6A - 9%'!K50</f>
        <v>491819</v>
      </c>
      <c r="P45" s="1978">
        <f>'6A - 9%'!T50</f>
        <v>22713</v>
      </c>
      <c r="Q45" s="896"/>
    </row>
    <row r="46" spans="2:17" x14ac:dyDescent="0.25">
      <c r="B46" s="1072"/>
      <c r="C46" s="110"/>
      <c r="D46" s="109" t="s">
        <v>195</v>
      </c>
      <c r="E46" s="109"/>
      <c r="F46" s="109"/>
      <c r="G46" s="109"/>
      <c r="H46" s="109"/>
      <c r="I46" s="703">
        <f t="shared" si="10"/>
        <v>0</v>
      </c>
      <c r="J46" s="97">
        <f t="shared" si="11"/>
        <v>0</v>
      </c>
      <c r="K46" s="45">
        <f t="shared" si="12"/>
        <v>0</v>
      </c>
      <c r="L46" s="1977">
        <f>'6A - 4%'!K51</f>
        <v>0</v>
      </c>
      <c r="M46" s="1985">
        <f>'6A - 4%'!S51</f>
        <v>0</v>
      </c>
      <c r="N46" s="1844">
        <f t="shared" si="13"/>
        <v>0</v>
      </c>
      <c r="O46" s="1977">
        <f>'6A - 9%'!K51</f>
        <v>0</v>
      </c>
      <c r="P46" s="1978">
        <f>'6A - 9%'!T51</f>
        <v>0</v>
      </c>
      <c r="Q46" s="896"/>
    </row>
    <row r="47" spans="2:17" x14ac:dyDescent="0.25">
      <c r="B47" s="1072"/>
      <c r="C47" s="110"/>
      <c r="D47" s="115" t="s">
        <v>196</v>
      </c>
      <c r="E47" s="115"/>
      <c r="F47" s="115"/>
      <c r="G47" s="115"/>
      <c r="H47" s="115"/>
      <c r="I47" s="703">
        <f t="shared" si="10"/>
        <v>2.0034071946158831E-4</v>
      </c>
      <c r="J47" s="97">
        <f t="shared" si="11"/>
        <v>8000</v>
      </c>
      <c r="K47" s="45">
        <f t="shared" si="12"/>
        <v>4720</v>
      </c>
      <c r="L47" s="1977">
        <f>'6A - 4%'!K52</f>
        <v>4720</v>
      </c>
      <c r="M47" s="1985">
        <f>'6A - 4%'!S52</f>
        <v>0</v>
      </c>
      <c r="N47" s="1844">
        <f t="shared" si="13"/>
        <v>3280</v>
      </c>
      <c r="O47" s="1977">
        <f>'6A - 9%'!K52</f>
        <v>3135</v>
      </c>
      <c r="P47" s="1978">
        <f>'6A - 9%'!T52</f>
        <v>145</v>
      </c>
      <c r="Q47" s="896"/>
    </row>
    <row r="48" spans="2:17" x14ac:dyDescent="0.25">
      <c r="B48" s="1072"/>
      <c r="C48" s="110"/>
      <c r="D48" s="109" t="s">
        <v>197</v>
      </c>
      <c r="E48" s="109"/>
      <c r="F48" s="109"/>
      <c r="G48" s="109"/>
      <c r="H48" s="109"/>
      <c r="I48" s="703">
        <f t="shared" si="10"/>
        <v>6.6623306256951198E-4</v>
      </c>
      <c r="J48" s="97">
        <f t="shared" si="11"/>
        <v>26604</v>
      </c>
      <c r="K48" s="45">
        <f t="shared" si="12"/>
        <v>15697</v>
      </c>
      <c r="L48" s="1977">
        <f>'6A - 4%'!K53</f>
        <v>15697</v>
      </c>
      <c r="M48" s="1985">
        <f>'6A - 4%'!S53</f>
        <v>0</v>
      </c>
      <c r="N48" s="1844">
        <f t="shared" si="13"/>
        <v>10907</v>
      </c>
      <c r="O48" s="1977">
        <f>'6A - 9%'!K53</f>
        <v>10426</v>
      </c>
      <c r="P48" s="1978">
        <f>'6A - 9%'!T53</f>
        <v>481</v>
      </c>
      <c r="Q48" s="896"/>
    </row>
    <row r="49" spans="2:17" x14ac:dyDescent="0.25">
      <c r="B49" s="1072"/>
      <c r="C49" s="110"/>
      <c r="D49" s="109" t="s">
        <v>198</v>
      </c>
      <c r="E49" s="109"/>
      <c r="F49" s="109"/>
      <c r="G49" s="109"/>
      <c r="H49" s="109"/>
      <c r="I49" s="703">
        <f t="shared" si="10"/>
        <v>9.2825368103533683E-4</v>
      </c>
      <c r="J49" s="97">
        <f t="shared" si="11"/>
        <v>37067</v>
      </c>
      <c r="K49" s="45">
        <f t="shared" si="12"/>
        <v>22273</v>
      </c>
      <c r="L49" s="1977">
        <f>'6A - 4%'!K54</f>
        <v>22273</v>
      </c>
      <c r="M49" s="1985">
        <f>'6A - 4%'!S54</f>
        <v>0</v>
      </c>
      <c r="N49" s="1844">
        <f t="shared" si="13"/>
        <v>14794</v>
      </c>
      <c r="O49" s="1977">
        <f>'6A - 9%'!K54</f>
        <v>14794</v>
      </c>
      <c r="P49" s="1978">
        <f>'6A - 9%'!T54</f>
        <v>0</v>
      </c>
      <c r="Q49" s="896"/>
    </row>
    <row r="50" spans="2:17" x14ac:dyDescent="0.25">
      <c r="B50" s="1072"/>
      <c r="C50" s="110"/>
      <c r="D50" s="109" t="s">
        <v>199</v>
      </c>
      <c r="E50" s="109"/>
      <c r="F50" s="109"/>
      <c r="G50" s="109"/>
      <c r="H50" s="109"/>
      <c r="I50" s="703">
        <f t="shared" si="10"/>
        <v>4.5076661878857369E-3</v>
      </c>
      <c r="J50" s="97">
        <f t="shared" si="11"/>
        <v>180000</v>
      </c>
      <c r="K50" s="45">
        <f t="shared" si="12"/>
        <v>106202</v>
      </c>
      <c r="L50" s="1977">
        <f>'6A - 4%'!K55</f>
        <v>106202</v>
      </c>
      <c r="M50" s="1985">
        <f>'6A - 4%'!S55</f>
        <v>0</v>
      </c>
      <c r="N50" s="1844">
        <f t="shared" si="13"/>
        <v>73798</v>
      </c>
      <c r="O50" s="1977">
        <f>'6A - 9%'!K55</f>
        <v>70540</v>
      </c>
      <c r="P50" s="1978">
        <f>'6A - 9%'!T55</f>
        <v>3258</v>
      </c>
      <c r="Q50" s="896"/>
    </row>
    <row r="51" spans="2:17" x14ac:dyDescent="0.25">
      <c r="B51" s="1072"/>
      <c r="C51" s="110"/>
      <c r="D51" s="115" t="s">
        <v>200</v>
      </c>
      <c r="E51" s="115"/>
      <c r="F51" s="115"/>
      <c r="G51" s="115"/>
      <c r="H51" s="115"/>
      <c r="I51" s="703">
        <f t="shared" si="10"/>
        <v>7.0136355900479952E-2</v>
      </c>
      <c r="J51" s="97">
        <f t="shared" si="11"/>
        <v>2800683</v>
      </c>
      <c r="K51" s="45">
        <f t="shared" si="12"/>
        <v>2132489</v>
      </c>
      <c r="L51" s="1977">
        <f>'6A - 4%'!K56</f>
        <v>2132489</v>
      </c>
      <c r="M51" s="1985">
        <f>'6A - 4%'!S56</f>
        <v>0</v>
      </c>
      <c r="N51" s="1844">
        <f t="shared" si="13"/>
        <v>668194</v>
      </c>
      <c r="O51" s="1977">
        <f>'6A - 9%'!K56</f>
        <v>667511</v>
      </c>
      <c r="P51" s="1978">
        <f>'6A - 9%'!T56</f>
        <v>683</v>
      </c>
      <c r="Q51" s="896"/>
    </row>
    <row r="52" spans="2:17" x14ac:dyDescent="0.25">
      <c r="B52" s="1072"/>
      <c r="C52" s="110"/>
      <c r="D52" s="115" t="s">
        <v>201</v>
      </c>
      <c r="E52" s="115"/>
      <c r="F52" s="115"/>
      <c r="G52" s="115"/>
      <c r="H52" s="115"/>
      <c r="I52" s="703">
        <f t="shared" si="10"/>
        <v>6.0102215838476495E-3</v>
      </c>
      <c r="J52" s="97">
        <f t="shared" si="11"/>
        <v>240000</v>
      </c>
      <c r="K52" s="45">
        <f t="shared" si="12"/>
        <v>141603</v>
      </c>
      <c r="L52" s="1977">
        <f>'6A - 4%'!K57</f>
        <v>141603</v>
      </c>
      <c r="M52" s="1985">
        <f>'6A - 4%'!S57</f>
        <v>0</v>
      </c>
      <c r="N52" s="1844">
        <f t="shared" si="13"/>
        <v>98397</v>
      </c>
      <c r="O52" s="1977">
        <f>'6A - 9%'!K57</f>
        <v>94053</v>
      </c>
      <c r="P52" s="1978">
        <f>'6A - 9%'!T57</f>
        <v>4344</v>
      </c>
      <c r="Q52" s="896"/>
    </row>
    <row r="53" spans="2:17" x14ac:dyDescent="0.25">
      <c r="B53" s="1072"/>
      <c r="C53" s="110"/>
      <c r="D53" s="115" t="s">
        <v>202</v>
      </c>
      <c r="E53" s="115"/>
      <c r="F53" s="115"/>
      <c r="G53" s="115"/>
      <c r="H53" s="115"/>
      <c r="I53" s="703">
        <f t="shared" si="10"/>
        <v>1.8281090650869934E-3</v>
      </c>
      <c r="J53" s="97">
        <f t="shared" si="11"/>
        <v>73000</v>
      </c>
      <c r="K53" s="45">
        <f t="shared" si="12"/>
        <v>43071</v>
      </c>
      <c r="L53" s="1989">
        <f>'6A - 4%'!K58</f>
        <v>43071</v>
      </c>
      <c r="M53" s="1990">
        <f>'6A - 4%'!S58</f>
        <v>0</v>
      </c>
      <c r="N53" s="1844">
        <f t="shared" si="13"/>
        <v>29929</v>
      </c>
      <c r="O53" s="1989">
        <f>'6A - 9%'!K58</f>
        <v>28608</v>
      </c>
      <c r="P53" s="1991">
        <f>'6A - 9%'!T58</f>
        <v>1321</v>
      </c>
      <c r="Q53" s="896"/>
    </row>
    <row r="54" spans="2:17" x14ac:dyDescent="0.25">
      <c r="B54" s="1072"/>
      <c r="C54" s="110"/>
      <c r="D54" s="148" t="s">
        <v>203</v>
      </c>
      <c r="E54" s="148"/>
      <c r="F54" s="148"/>
      <c r="G54" s="148"/>
      <c r="H54" s="148"/>
      <c r="I54" s="703">
        <f t="shared" si="10"/>
        <v>3.1505331116630053E-3</v>
      </c>
      <c r="J54" s="97">
        <f t="shared" si="11"/>
        <v>125807</v>
      </c>
      <c r="K54" s="45">
        <f t="shared" si="12"/>
        <v>66427</v>
      </c>
      <c r="L54" s="1989">
        <f>'6A - 4%'!K59</f>
        <v>66427</v>
      </c>
      <c r="M54" s="1990">
        <f>'6A - 4%'!S59</f>
        <v>0</v>
      </c>
      <c r="N54" s="1844">
        <f t="shared" si="13"/>
        <v>59380</v>
      </c>
      <c r="O54" s="1989">
        <f>'6A - 9%'!K59</f>
        <v>47804</v>
      </c>
      <c r="P54" s="1991">
        <f>'6A - 9%'!T59</f>
        <v>11576</v>
      </c>
      <c r="Q54" s="896"/>
    </row>
    <row r="55" spans="2:17" x14ac:dyDescent="0.25">
      <c r="B55" s="1072"/>
      <c r="C55" s="110"/>
      <c r="D55" s="115" t="s">
        <v>247</v>
      </c>
      <c r="E55" s="114"/>
      <c r="F55" s="114"/>
      <c r="G55" s="114"/>
      <c r="H55" s="269"/>
      <c r="I55" s="703">
        <f t="shared" si="10"/>
        <v>2.1285951016894434E-3</v>
      </c>
      <c r="J55" s="98">
        <f t="shared" si="11"/>
        <v>84999</v>
      </c>
      <c r="K55" s="62">
        <f t="shared" si="12"/>
        <v>50151</v>
      </c>
      <c r="L55" s="1981">
        <f>'6A - 4%'!K60</f>
        <v>50151</v>
      </c>
      <c r="M55" s="1992">
        <f>'6A - 4%'!S60</f>
        <v>0</v>
      </c>
      <c r="N55" s="1848">
        <f t="shared" si="13"/>
        <v>34848</v>
      </c>
      <c r="O55" s="1981">
        <f>'6A - 9%'!K60</f>
        <v>33310</v>
      </c>
      <c r="P55" s="1982">
        <f>'6A - 9%'!T60</f>
        <v>1538</v>
      </c>
      <c r="Q55" s="896"/>
    </row>
    <row r="56" spans="2:17" ht="15.75" thickBot="1" x14ac:dyDescent="0.3">
      <c r="B56" s="1072"/>
      <c r="C56" s="110"/>
      <c r="D56" s="109"/>
      <c r="E56" s="109"/>
      <c r="F56" s="109"/>
      <c r="G56" s="113" t="s">
        <v>174</v>
      </c>
      <c r="H56" s="113"/>
      <c r="I56" s="704">
        <f t="shared" si="10"/>
        <v>0.12143550035545451</v>
      </c>
      <c r="J56" s="99">
        <f t="shared" ref="J56:P56" si="14">SUM(J43:J55)</f>
        <v>4849159</v>
      </c>
      <c r="K56" s="60">
        <f t="shared" si="14"/>
        <v>3333785</v>
      </c>
      <c r="L56" s="1086">
        <f t="shared" si="14"/>
        <v>3333785</v>
      </c>
      <c r="M56" s="1087">
        <f t="shared" si="14"/>
        <v>0</v>
      </c>
      <c r="N56" s="1846">
        <f t="shared" si="14"/>
        <v>1515374</v>
      </c>
      <c r="O56" s="1086">
        <f t="shared" si="14"/>
        <v>1469098</v>
      </c>
      <c r="P56" s="1090">
        <f t="shared" si="14"/>
        <v>46276</v>
      </c>
      <c r="Q56" s="896"/>
    </row>
    <row r="57" spans="2:17" ht="3.75" customHeight="1" x14ac:dyDescent="0.25">
      <c r="B57" s="1072"/>
      <c r="C57" s="109"/>
      <c r="D57" s="109"/>
      <c r="E57" s="109"/>
      <c r="F57" s="109"/>
      <c r="G57" s="109"/>
      <c r="H57" s="109"/>
      <c r="I57" s="897"/>
      <c r="J57" s="1097"/>
      <c r="K57" s="1098"/>
      <c r="L57" s="1099"/>
      <c r="M57" s="761"/>
      <c r="N57" s="761"/>
      <c r="O57" s="1099"/>
      <c r="P57" s="761"/>
      <c r="Q57" s="896"/>
    </row>
    <row r="58" spans="2:17" ht="15.75" thickBot="1" x14ac:dyDescent="0.3">
      <c r="B58" s="1072"/>
      <c r="C58" s="143" t="s">
        <v>204</v>
      </c>
      <c r="D58" s="143"/>
      <c r="E58" s="143"/>
      <c r="F58" s="143"/>
      <c r="G58" s="143"/>
      <c r="H58" s="112"/>
      <c r="I58" s="112"/>
      <c r="J58" s="112"/>
      <c r="K58" s="112"/>
      <c r="L58" s="1074"/>
      <c r="M58" s="110"/>
      <c r="N58" s="133"/>
      <c r="O58" s="1081"/>
      <c r="P58" s="1081"/>
      <c r="Q58" s="896"/>
    </row>
    <row r="59" spans="2:17" x14ac:dyDescent="0.25">
      <c r="B59" s="1072"/>
      <c r="C59" s="110"/>
      <c r="D59" s="263" t="s">
        <v>205</v>
      </c>
      <c r="E59" s="263"/>
      <c r="F59" s="263"/>
      <c r="G59" s="263"/>
      <c r="H59" s="263"/>
      <c r="I59" s="702">
        <f>IFERROR(J59/J$113," ")</f>
        <v>0</v>
      </c>
      <c r="J59" s="96">
        <f>K59+N59</f>
        <v>0</v>
      </c>
      <c r="K59" s="57">
        <f>SUM(L59:M59)</f>
        <v>0</v>
      </c>
      <c r="L59" s="1983">
        <f>'6A - 4%'!K64</f>
        <v>0</v>
      </c>
      <c r="M59" s="1984">
        <f>'6A - 4%'!S64</f>
        <v>0</v>
      </c>
      <c r="N59" s="1847">
        <f>SUM(O59:P59)</f>
        <v>0</v>
      </c>
      <c r="O59" s="1973">
        <f>'6A - 9%'!K64</f>
        <v>0</v>
      </c>
      <c r="P59" s="1974">
        <f>'6A - 9%'!T64</f>
        <v>0</v>
      </c>
      <c r="Q59" s="896"/>
    </row>
    <row r="60" spans="2:17" x14ac:dyDescent="0.25">
      <c r="B60" s="1072"/>
      <c r="C60" s="110"/>
      <c r="D60" s="109" t="s">
        <v>206</v>
      </c>
      <c r="E60" s="109"/>
      <c r="F60" s="109"/>
      <c r="G60" s="109"/>
      <c r="H60" s="109"/>
      <c r="I60" s="703">
        <f>IFERROR(J60/J$113," ")</f>
        <v>2.504258993269854E-3</v>
      </c>
      <c r="J60" s="98">
        <f>K60+N60</f>
        <v>100000</v>
      </c>
      <c r="K60" s="62">
        <f>SUM(L60:M60)</f>
        <v>59001</v>
      </c>
      <c r="L60" s="1986">
        <f>'6A - 4%'!K65</f>
        <v>59001</v>
      </c>
      <c r="M60" s="1987">
        <f>'6A - 4%'!S65</f>
        <v>0</v>
      </c>
      <c r="N60" s="1848">
        <f>SUM(O60:P60)</f>
        <v>40999</v>
      </c>
      <c r="O60" s="1986">
        <f>'6A - 9%'!K65</f>
        <v>39189</v>
      </c>
      <c r="P60" s="1988">
        <f>'6A - 9%'!T65</f>
        <v>1810</v>
      </c>
      <c r="Q60" s="896"/>
    </row>
    <row r="61" spans="2:17" ht="15.75" thickBot="1" x14ac:dyDescent="0.3">
      <c r="B61" s="1072"/>
      <c r="C61" s="110"/>
      <c r="D61" s="109"/>
      <c r="E61" s="109"/>
      <c r="F61" s="109"/>
      <c r="G61" s="113" t="s">
        <v>174</v>
      </c>
      <c r="H61" s="113"/>
      <c r="I61" s="704">
        <f>IFERROR(J61/J$113," ")</f>
        <v>2.504258993269854E-3</v>
      </c>
      <c r="J61" s="99">
        <f t="shared" ref="J61:P61" si="15">SUM(J59:J60)</f>
        <v>100000</v>
      </c>
      <c r="K61" s="60">
        <f t="shared" si="15"/>
        <v>59001</v>
      </c>
      <c r="L61" s="1086">
        <f t="shared" si="15"/>
        <v>59001</v>
      </c>
      <c r="M61" s="1087">
        <f t="shared" si="15"/>
        <v>0</v>
      </c>
      <c r="N61" s="1846">
        <f t="shared" si="15"/>
        <v>40999</v>
      </c>
      <c r="O61" s="1086">
        <f t="shared" si="15"/>
        <v>39189</v>
      </c>
      <c r="P61" s="1090">
        <f t="shared" si="15"/>
        <v>1810</v>
      </c>
      <c r="Q61" s="896"/>
    </row>
    <row r="62" spans="2:17" ht="3.75" customHeight="1" x14ac:dyDescent="0.25">
      <c r="B62" s="1072"/>
      <c r="C62" s="109"/>
      <c r="D62" s="113"/>
      <c r="E62" s="113"/>
      <c r="F62" s="113"/>
      <c r="G62" s="113"/>
      <c r="H62" s="113"/>
      <c r="I62" s="1074"/>
      <c r="J62" s="1074"/>
      <c r="K62" s="110"/>
      <c r="L62" s="40"/>
      <c r="M62" s="40"/>
      <c r="N62" s="40"/>
      <c r="O62" s="40"/>
      <c r="P62" s="40"/>
      <c r="Q62" s="896"/>
    </row>
    <row r="63" spans="2:17" ht="15.75" thickBot="1" x14ac:dyDescent="0.3">
      <c r="B63" s="1072"/>
      <c r="C63" s="143" t="s">
        <v>207</v>
      </c>
      <c r="D63" s="143"/>
      <c r="E63" s="143"/>
      <c r="F63" s="143"/>
      <c r="G63" s="143"/>
      <c r="H63" s="112"/>
      <c r="I63" s="112"/>
      <c r="J63" s="112"/>
      <c r="K63" s="112"/>
      <c r="L63" s="1074"/>
      <c r="M63" s="110"/>
      <c r="N63" s="133"/>
      <c r="O63" s="1081"/>
      <c r="P63" s="1081"/>
      <c r="Q63" s="896"/>
    </row>
    <row r="64" spans="2:17" x14ac:dyDescent="0.25">
      <c r="B64" s="1072"/>
      <c r="C64" s="110"/>
      <c r="D64" s="263" t="s">
        <v>208</v>
      </c>
      <c r="E64" s="263"/>
      <c r="F64" s="263"/>
      <c r="G64" s="263"/>
      <c r="H64" s="263"/>
      <c r="I64" s="702">
        <f t="shared" ref="I64:I69" si="16">IFERROR(J64/J$113," ")</f>
        <v>2.0034071946158833E-3</v>
      </c>
      <c r="J64" s="96">
        <f>K64+N64</f>
        <v>80000</v>
      </c>
      <c r="K64" s="57">
        <f>SUM(L64:M64)</f>
        <v>42000</v>
      </c>
      <c r="L64" s="1983">
        <f>'6A - 4%'!K69</f>
        <v>42000</v>
      </c>
      <c r="M64" s="1984">
        <f>'6A - 4%'!S69</f>
        <v>0</v>
      </c>
      <c r="N64" s="1847">
        <f>SUM(O64:P64)</f>
        <v>38000</v>
      </c>
      <c r="O64" s="1973">
        <f>'6A - 9%'!K69</f>
        <v>35000</v>
      </c>
      <c r="P64" s="1974">
        <f>'6A - 9%'!T69</f>
        <v>3000</v>
      </c>
      <c r="Q64" s="896"/>
    </row>
    <row r="65" spans="2:17" x14ac:dyDescent="0.25">
      <c r="B65" s="1072"/>
      <c r="C65" s="110"/>
      <c r="D65" s="109" t="s">
        <v>209</v>
      </c>
      <c r="E65" s="109"/>
      <c r="F65" s="109"/>
      <c r="G65" s="109"/>
      <c r="H65" s="109"/>
      <c r="I65" s="703">
        <f t="shared" si="16"/>
        <v>0</v>
      </c>
      <c r="J65" s="97">
        <f>K65+N65</f>
        <v>0</v>
      </c>
      <c r="K65" s="45">
        <f>SUM(L65:M65)</f>
        <v>0</v>
      </c>
      <c r="L65" s="1977">
        <f>'6A - 4%'!K70</f>
        <v>0</v>
      </c>
      <c r="M65" s="1985">
        <f>'6A - 4%'!S70</f>
        <v>0</v>
      </c>
      <c r="N65" s="1844">
        <f>SUM(O65:P65)</f>
        <v>0</v>
      </c>
      <c r="O65" s="1977">
        <f>'6A - 9%'!K70</f>
        <v>0</v>
      </c>
      <c r="P65" s="1978">
        <f>'6A - 9%'!T70</f>
        <v>0</v>
      </c>
      <c r="Q65" s="896"/>
    </row>
    <row r="66" spans="2:17" x14ac:dyDescent="0.25">
      <c r="B66" s="1072"/>
      <c r="C66" s="110"/>
      <c r="D66" s="109" t="s">
        <v>210</v>
      </c>
      <c r="E66" s="109"/>
      <c r="F66" s="109"/>
      <c r="G66" s="109"/>
      <c r="H66" s="109"/>
      <c r="I66" s="703">
        <f t="shared" si="16"/>
        <v>1.0017035973079417E-3</v>
      </c>
      <c r="J66" s="97">
        <f>K66+N66</f>
        <v>40000</v>
      </c>
      <c r="K66" s="45">
        <f>SUM(L66:M66)</f>
        <v>20000</v>
      </c>
      <c r="L66" s="1977">
        <f>'6A - 4%'!K71</f>
        <v>20000</v>
      </c>
      <c r="M66" s="1985">
        <f>'6A - 4%'!S71</f>
        <v>0</v>
      </c>
      <c r="N66" s="1844">
        <f>SUM(O66:P66)</f>
        <v>20000</v>
      </c>
      <c r="O66" s="1977">
        <f>'6A - 9%'!K71</f>
        <v>19000</v>
      </c>
      <c r="P66" s="1978">
        <f>'6A - 9%'!T71</f>
        <v>1000</v>
      </c>
      <c r="Q66" s="896"/>
    </row>
    <row r="67" spans="2:17" x14ac:dyDescent="0.25">
      <c r="B67" s="1072"/>
      <c r="C67" s="110"/>
      <c r="D67" s="109" t="s">
        <v>211</v>
      </c>
      <c r="E67" s="109"/>
      <c r="F67" s="109"/>
      <c r="G67" s="109"/>
      <c r="H67" s="109"/>
      <c r="I67" s="703">
        <f t="shared" si="16"/>
        <v>2.1661840291784237E-2</v>
      </c>
      <c r="J67" s="97">
        <f>K67+N67</f>
        <v>865000</v>
      </c>
      <c r="K67" s="45">
        <f>SUM(L67:M67)</f>
        <v>485000</v>
      </c>
      <c r="L67" s="1977">
        <f>'6A - 4%'!K72</f>
        <v>485000</v>
      </c>
      <c r="M67" s="1985">
        <f>'6A - 4%'!S72</f>
        <v>0</v>
      </c>
      <c r="N67" s="1844">
        <f>SUM(O67:P67)</f>
        <v>380000</v>
      </c>
      <c r="O67" s="1977">
        <f>'6A - 9%'!K72</f>
        <v>350000</v>
      </c>
      <c r="P67" s="1978">
        <f>'6A - 9%'!T72</f>
        <v>30000</v>
      </c>
      <c r="Q67" s="896"/>
    </row>
    <row r="68" spans="2:17" x14ac:dyDescent="0.25">
      <c r="B68" s="1072"/>
      <c r="C68" s="110"/>
      <c r="D68" s="109" t="s">
        <v>212</v>
      </c>
      <c r="E68" s="109"/>
      <c r="F68" s="109"/>
      <c r="G68" s="109"/>
      <c r="H68" s="109"/>
      <c r="I68" s="703">
        <f t="shared" si="16"/>
        <v>3.1303237415873176E-3</v>
      </c>
      <c r="J68" s="98">
        <f>K68+N68</f>
        <v>125000</v>
      </c>
      <c r="K68" s="45">
        <f>SUM(L68:M68)</f>
        <v>73752</v>
      </c>
      <c r="L68" s="1986">
        <f>'6A - 4%'!K73</f>
        <v>73752</v>
      </c>
      <c r="M68" s="1987">
        <f>'6A - 4%'!S73</f>
        <v>0</v>
      </c>
      <c r="N68" s="1848">
        <f>SUM(O68:P68)</f>
        <v>51248</v>
      </c>
      <c r="O68" s="1986">
        <f>'6A - 9%'!K73</f>
        <v>48986</v>
      </c>
      <c r="P68" s="1988">
        <f>'6A - 9%'!T73</f>
        <v>2262</v>
      </c>
      <c r="Q68" s="896"/>
    </row>
    <row r="69" spans="2:17" ht="15.75" thickBot="1" x14ac:dyDescent="0.3">
      <c r="B69" s="1072"/>
      <c r="C69" s="110"/>
      <c r="D69" s="109"/>
      <c r="E69" s="109"/>
      <c r="F69" s="109"/>
      <c r="G69" s="113" t="s">
        <v>174</v>
      </c>
      <c r="H69" s="113"/>
      <c r="I69" s="704">
        <f t="shared" si="16"/>
        <v>2.7797274825295381E-2</v>
      </c>
      <c r="J69" s="99">
        <f t="shared" ref="J69:P69" si="17">SUM(J64:J68)</f>
        <v>1110000</v>
      </c>
      <c r="K69" s="60">
        <f t="shared" si="17"/>
        <v>620752</v>
      </c>
      <c r="L69" s="1086">
        <f t="shared" si="17"/>
        <v>620752</v>
      </c>
      <c r="M69" s="1087">
        <f t="shared" si="17"/>
        <v>0</v>
      </c>
      <c r="N69" s="1846">
        <f t="shared" si="17"/>
        <v>489248</v>
      </c>
      <c r="O69" s="1086">
        <f t="shared" si="17"/>
        <v>452986</v>
      </c>
      <c r="P69" s="1090">
        <f t="shared" si="17"/>
        <v>36262</v>
      </c>
      <c r="Q69" s="896"/>
    </row>
    <row r="70" spans="2:17" ht="9" customHeight="1" thickBot="1" x14ac:dyDescent="0.3">
      <c r="B70" s="1092"/>
      <c r="C70" s="85"/>
      <c r="D70" s="88"/>
      <c r="E70" s="88"/>
      <c r="F70" s="88"/>
      <c r="G70" s="88"/>
      <c r="H70" s="88"/>
      <c r="I70" s="916"/>
      <c r="J70" s="1093"/>
      <c r="K70" s="1094"/>
      <c r="L70" s="86"/>
      <c r="M70" s="86"/>
      <c r="N70" s="86"/>
      <c r="O70" s="86"/>
      <c r="P70" s="86"/>
      <c r="Q70" s="917"/>
    </row>
    <row r="71" spans="2:17" ht="15.75" thickBot="1" x14ac:dyDescent="0.3">
      <c r="B71" s="1072"/>
      <c r="C71" s="143" t="s">
        <v>213</v>
      </c>
      <c r="D71" s="143"/>
      <c r="E71" s="143"/>
      <c r="F71" s="143"/>
      <c r="G71" s="143"/>
      <c r="H71" s="112"/>
      <c r="I71" s="112"/>
      <c r="J71" s="112"/>
      <c r="K71" s="112"/>
      <c r="L71" s="40"/>
      <c r="M71" s="40"/>
      <c r="N71" s="40"/>
      <c r="O71" s="40"/>
      <c r="P71" s="40"/>
      <c r="Q71" s="896"/>
    </row>
    <row r="72" spans="2:17" x14ac:dyDescent="0.25">
      <c r="B72" s="1072"/>
      <c r="C72" s="110"/>
      <c r="D72" s="263" t="s">
        <v>214</v>
      </c>
      <c r="E72" s="263"/>
      <c r="F72" s="263"/>
      <c r="G72" s="263"/>
      <c r="H72" s="263"/>
      <c r="I72" s="702">
        <f t="shared" ref="I72:I80" si="18">IFERROR(J72/J$113," ")</f>
        <v>2.0785349644139787E-3</v>
      </c>
      <c r="J72" s="96">
        <f t="shared" ref="J72:J79" si="19">K72+N72</f>
        <v>83000</v>
      </c>
      <c r="K72" s="57">
        <f t="shared" ref="K72:K79" si="20">SUM(L72:M72)</f>
        <v>68000</v>
      </c>
      <c r="L72" s="1983">
        <f>'6A - 4%'!K77</f>
        <v>68000</v>
      </c>
      <c r="M72" s="1984">
        <f>'6A - 4%'!S77</f>
        <v>0</v>
      </c>
      <c r="N72" s="1847">
        <f t="shared" ref="N72:N79" si="21">SUM(O72:P72)</f>
        <v>15000</v>
      </c>
      <c r="O72" s="1973">
        <f>'6A - 9%'!K77</f>
        <v>15000</v>
      </c>
      <c r="P72" s="1974">
        <f>'6A - 9%'!T77</f>
        <v>0</v>
      </c>
      <c r="Q72" s="896"/>
    </row>
    <row r="73" spans="2:17" x14ac:dyDescent="0.25">
      <c r="B73" s="1072"/>
      <c r="C73" s="110"/>
      <c r="D73" s="109" t="s">
        <v>215</v>
      </c>
      <c r="E73" s="109"/>
      <c r="F73" s="109"/>
      <c r="G73" s="109"/>
      <c r="H73" s="109"/>
      <c r="I73" s="703">
        <f t="shared" si="18"/>
        <v>2.5042589932698539E-5</v>
      </c>
      <c r="J73" s="97">
        <f t="shared" si="19"/>
        <v>1000</v>
      </c>
      <c r="K73" s="45">
        <f t="shared" si="20"/>
        <v>0</v>
      </c>
      <c r="L73" s="1977">
        <f>'6A - 4%'!K78</f>
        <v>0</v>
      </c>
      <c r="M73" s="1985">
        <f>'6A - 4%'!S78</f>
        <v>0</v>
      </c>
      <c r="N73" s="1844">
        <f t="shared" si="21"/>
        <v>1000</v>
      </c>
      <c r="O73" s="1977">
        <f>'6A - 9%'!K78</f>
        <v>0</v>
      </c>
      <c r="P73" s="1978">
        <f>'6A - 9%'!T78</f>
        <v>1000</v>
      </c>
      <c r="Q73" s="896"/>
    </row>
    <row r="74" spans="2:17" x14ac:dyDescent="0.25">
      <c r="B74" s="1072"/>
      <c r="C74" s="110"/>
      <c r="D74" s="109" t="s">
        <v>216</v>
      </c>
      <c r="E74" s="109"/>
      <c r="F74" s="109"/>
      <c r="G74" s="109"/>
      <c r="H74" s="109"/>
      <c r="I74" s="703">
        <f t="shared" si="18"/>
        <v>9.7666100737524297E-4</v>
      </c>
      <c r="J74" s="97">
        <f t="shared" si="19"/>
        <v>39000</v>
      </c>
      <c r="K74" s="45">
        <f t="shared" si="20"/>
        <v>20000</v>
      </c>
      <c r="L74" s="1977">
        <f>'6A - 4%'!K79</f>
        <v>20000</v>
      </c>
      <c r="M74" s="1985">
        <f>'6A - 4%'!S79</f>
        <v>0</v>
      </c>
      <c r="N74" s="1844">
        <f t="shared" si="21"/>
        <v>19000</v>
      </c>
      <c r="O74" s="1977">
        <f>'6A - 9%'!K79</f>
        <v>19000</v>
      </c>
      <c r="P74" s="1978">
        <f>'6A - 9%'!T79</f>
        <v>0</v>
      </c>
      <c r="Q74" s="896"/>
    </row>
    <row r="75" spans="2:17" x14ac:dyDescent="0.25">
      <c r="B75" s="1072"/>
      <c r="C75" s="110"/>
      <c r="D75" s="114" t="s">
        <v>217</v>
      </c>
      <c r="E75" s="114"/>
      <c r="F75" s="114"/>
      <c r="G75" s="114"/>
      <c r="H75" s="114"/>
      <c r="I75" s="703">
        <f t="shared" si="18"/>
        <v>4.0323578309631189E-3</v>
      </c>
      <c r="J75" s="97">
        <f t="shared" si="19"/>
        <v>161020</v>
      </c>
      <c r="K75" s="45">
        <f t="shared" si="20"/>
        <v>44944</v>
      </c>
      <c r="L75" s="1977">
        <f>'6A - 4%'!K80</f>
        <v>44944</v>
      </c>
      <c r="M75" s="1985">
        <f>'6A - 4%'!S80</f>
        <v>0</v>
      </c>
      <c r="N75" s="1844">
        <f t="shared" si="21"/>
        <v>116076</v>
      </c>
      <c r="O75" s="1977">
        <f>'6A - 9%'!K80</f>
        <v>116076</v>
      </c>
      <c r="P75" s="1978">
        <f>'6A - 9%'!T80</f>
        <v>0</v>
      </c>
      <c r="Q75" s="896"/>
    </row>
    <row r="76" spans="2:17" x14ac:dyDescent="0.25">
      <c r="B76" s="1072"/>
      <c r="C76" s="110"/>
      <c r="D76" s="114" t="s">
        <v>218</v>
      </c>
      <c r="E76" s="114"/>
      <c r="F76" s="114"/>
      <c r="G76" s="114"/>
      <c r="H76" s="114"/>
      <c r="I76" s="703">
        <f t="shared" si="18"/>
        <v>1.5025553959619124E-3</v>
      </c>
      <c r="J76" s="97">
        <f t="shared" si="19"/>
        <v>60000</v>
      </c>
      <c r="K76" s="45">
        <f t="shared" si="20"/>
        <v>36053</v>
      </c>
      <c r="L76" s="1977">
        <f>'6A - 4%'!K81</f>
        <v>36053</v>
      </c>
      <c r="M76" s="1985">
        <f>'6A - 4%'!S81</f>
        <v>0</v>
      </c>
      <c r="N76" s="1844">
        <f t="shared" si="21"/>
        <v>23947</v>
      </c>
      <c r="O76" s="1977">
        <f>'6A - 9%'!K81</f>
        <v>23947</v>
      </c>
      <c r="P76" s="1978">
        <f>'6A - 9%'!T81</f>
        <v>0</v>
      </c>
      <c r="Q76" s="896"/>
    </row>
    <row r="77" spans="2:17" x14ac:dyDescent="0.25">
      <c r="B77" s="1072"/>
      <c r="C77" s="110"/>
      <c r="D77" s="114" t="s">
        <v>219</v>
      </c>
      <c r="E77" s="114"/>
      <c r="F77" s="114"/>
      <c r="G77" s="114"/>
      <c r="H77" s="114"/>
      <c r="I77" s="703">
        <f t="shared" si="18"/>
        <v>0</v>
      </c>
      <c r="J77" s="97">
        <f t="shared" si="19"/>
        <v>0</v>
      </c>
      <c r="K77" s="45">
        <f t="shared" si="20"/>
        <v>0</v>
      </c>
      <c r="L77" s="1977">
        <f>'6A - 4%'!K82</f>
        <v>0</v>
      </c>
      <c r="M77" s="1985">
        <f>'6A - 4%'!S82</f>
        <v>0</v>
      </c>
      <c r="N77" s="1844">
        <f t="shared" si="21"/>
        <v>0</v>
      </c>
      <c r="O77" s="1977">
        <f>'6A - 9%'!K82</f>
        <v>0</v>
      </c>
      <c r="P77" s="1978">
        <f>'6A - 9%'!T82</f>
        <v>0</v>
      </c>
      <c r="Q77" s="896"/>
    </row>
    <row r="78" spans="2:17" x14ac:dyDescent="0.25">
      <c r="B78" s="1072"/>
      <c r="C78" s="110"/>
      <c r="D78" s="115" t="s">
        <v>220</v>
      </c>
      <c r="E78" s="115"/>
      <c r="F78" s="115"/>
      <c r="G78" s="115"/>
      <c r="H78" s="115"/>
      <c r="I78" s="703">
        <f t="shared" si="18"/>
        <v>0</v>
      </c>
      <c r="J78" s="97">
        <f t="shared" si="19"/>
        <v>0</v>
      </c>
      <c r="K78" s="45">
        <f t="shared" si="20"/>
        <v>0</v>
      </c>
      <c r="L78" s="1977">
        <f>'6A - 4%'!K83</f>
        <v>0</v>
      </c>
      <c r="M78" s="1985">
        <f>'6A - 4%'!S83</f>
        <v>0</v>
      </c>
      <c r="N78" s="1844">
        <f t="shared" si="21"/>
        <v>0</v>
      </c>
      <c r="O78" s="1977">
        <f>'6A - 9%'!K83</f>
        <v>0</v>
      </c>
      <c r="P78" s="1978">
        <f>'6A - 9%'!T83</f>
        <v>0</v>
      </c>
      <c r="Q78" s="896"/>
    </row>
    <row r="79" spans="2:17" x14ac:dyDescent="0.25">
      <c r="B79" s="1072"/>
      <c r="C79" s="110"/>
      <c r="D79" s="115" t="s">
        <v>247</v>
      </c>
      <c r="E79" s="114"/>
      <c r="F79" s="114"/>
      <c r="G79" s="114"/>
      <c r="H79" s="269"/>
      <c r="I79" s="703">
        <f t="shared" si="18"/>
        <v>1.4649915110628647E-3</v>
      </c>
      <c r="J79" s="98">
        <f t="shared" si="19"/>
        <v>58500</v>
      </c>
      <c r="K79" s="45">
        <f t="shared" si="20"/>
        <v>33235</v>
      </c>
      <c r="L79" s="1986">
        <f>'6A - 4%'!K84</f>
        <v>33235</v>
      </c>
      <c r="M79" s="1987">
        <f>'6A - 4%'!S84</f>
        <v>0</v>
      </c>
      <c r="N79" s="1848">
        <f t="shared" si="21"/>
        <v>25265</v>
      </c>
      <c r="O79" s="1986">
        <f>'6A - 9%'!K84</f>
        <v>22075</v>
      </c>
      <c r="P79" s="1988">
        <f>'6A - 9%'!T84</f>
        <v>3190</v>
      </c>
      <c r="Q79" s="896"/>
    </row>
    <row r="80" spans="2:17" ht="15.75" thickBot="1" x14ac:dyDescent="0.3">
      <c r="B80" s="1072"/>
      <c r="C80" s="110"/>
      <c r="D80" s="109"/>
      <c r="E80" s="109"/>
      <c r="F80" s="109"/>
      <c r="G80" s="113" t="s">
        <v>174</v>
      </c>
      <c r="H80" s="113"/>
      <c r="I80" s="704">
        <f t="shared" si="18"/>
        <v>1.0080143299709816E-2</v>
      </c>
      <c r="J80" s="99">
        <f t="shared" ref="J80:P80" si="22">SUM(J72:J79)</f>
        <v>402520</v>
      </c>
      <c r="K80" s="60">
        <f t="shared" si="22"/>
        <v>202232</v>
      </c>
      <c r="L80" s="1086">
        <f t="shared" si="22"/>
        <v>202232</v>
      </c>
      <c r="M80" s="1087">
        <f t="shared" si="22"/>
        <v>0</v>
      </c>
      <c r="N80" s="1846">
        <f t="shared" si="22"/>
        <v>200288</v>
      </c>
      <c r="O80" s="1086">
        <f t="shared" si="22"/>
        <v>196098</v>
      </c>
      <c r="P80" s="1090">
        <f t="shared" si="22"/>
        <v>4190</v>
      </c>
      <c r="Q80" s="896"/>
    </row>
    <row r="81" spans="2:17" ht="3.75" customHeight="1" x14ac:dyDescent="0.25">
      <c r="B81" s="1072"/>
      <c r="C81" s="109"/>
      <c r="D81" s="109"/>
      <c r="E81" s="109"/>
      <c r="F81" s="109"/>
      <c r="G81" s="109"/>
      <c r="H81" s="109"/>
      <c r="I81" s="1074"/>
      <c r="J81" s="1091"/>
      <c r="K81" s="110"/>
      <c r="L81" s="40"/>
      <c r="M81" s="40"/>
      <c r="N81" s="40"/>
      <c r="O81" s="40"/>
      <c r="P81" s="40"/>
      <c r="Q81" s="896"/>
    </row>
    <row r="82" spans="2:17" ht="15.75" thickBot="1" x14ac:dyDescent="0.3">
      <c r="B82" s="1072"/>
      <c r="C82" s="143" t="s">
        <v>221</v>
      </c>
      <c r="D82" s="143"/>
      <c r="E82" s="143"/>
      <c r="F82" s="143"/>
      <c r="G82" s="143"/>
      <c r="H82" s="112"/>
      <c r="I82" s="112"/>
      <c r="J82" s="112"/>
      <c r="K82" s="112"/>
      <c r="L82" s="1101"/>
      <c r="M82" s="43"/>
      <c r="N82" s="43"/>
      <c r="O82" s="43"/>
      <c r="P82" s="43"/>
      <c r="Q82" s="896"/>
    </row>
    <row r="83" spans="2:17" x14ac:dyDescent="0.25">
      <c r="B83" s="1072"/>
      <c r="C83" s="110"/>
      <c r="D83" s="264" t="s">
        <v>222</v>
      </c>
      <c r="E83" s="264"/>
      <c r="F83" s="264"/>
      <c r="G83" s="264"/>
      <c r="H83" s="264"/>
      <c r="I83" s="702">
        <f>IFERROR(J83/J$113," ")</f>
        <v>1.8781942449523904E-2</v>
      </c>
      <c r="J83" s="96">
        <f>K83+N83</f>
        <v>750000</v>
      </c>
      <c r="K83" s="57">
        <f>SUM(L83:M83)</f>
        <v>445000</v>
      </c>
      <c r="L83" s="1983">
        <f>'6A - 4%'!K88</f>
        <v>445000</v>
      </c>
      <c r="M83" s="1984">
        <f>'6A - 4%'!S88</f>
        <v>0</v>
      </c>
      <c r="N83" s="1847">
        <f>SUM(O83:P83)</f>
        <v>305000</v>
      </c>
      <c r="O83" s="1973">
        <f>'6A - 9%'!K88</f>
        <v>280000</v>
      </c>
      <c r="P83" s="1974">
        <f>'6A - 9%'!T88</f>
        <v>25000</v>
      </c>
      <c r="Q83" s="896"/>
    </row>
    <row r="84" spans="2:17" x14ac:dyDescent="0.25">
      <c r="B84" s="1072"/>
      <c r="C84" s="110"/>
      <c r="D84" s="115" t="s">
        <v>223</v>
      </c>
      <c r="E84" s="115"/>
      <c r="F84" s="115"/>
      <c r="G84" s="115"/>
      <c r="H84" s="115"/>
      <c r="I84" s="703">
        <f>IFERROR(J84/J$113," ")</f>
        <v>1.1657325613671171E-3</v>
      </c>
      <c r="J84" s="97">
        <f>K84+N84</f>
        <v>46550</v>
      </c>
      <c r="K84" s="45">
        <f>SUM(L84:M84)</f>
        <v>28000</v>
      </c>
      <c r="L84" s="1977">
        <f>'6A - 4%'!K89</f>
        <v>28000</v>
      </c>
      <c r="M84" s="1985">
        <f>'6A - 4%'!S89</f>
        <v>0</v>
      </c>
      <c r="N84" s="1844">
        <f>SUM(O84:P84)</f>
        <v>18550</v>
      </c>
      <c r="O84" s="1977">
        <f>'6A - 9%'!K89</f>
        <v>18550</v>
      </c>
      <c r="P84" s="1978">
        <f>'6A - 9%'!T89</f>
        <v>0</v>
      </c>
      <c r="Q84" s="896"/>
    </row>
    <row r="85" spans="2:17" x14ac:dyDescent="0.25">
      <c r="B85" s="1072"/>
      <c r="C85" s="110"/>
      <c r="D85" s="115" t="s">
        <v>247</v>
      </c>
      <c r="E85" s="114"/>
      <c r="F85" s="114"/>
      <c r="G85" s="114"/>
      <c r="H85" s="269"/>
      <c r="I85" s="703">
        <f>IFERROR(J85/J$113," ")</f>
        <v>0</v>
      </c>
      <c r="J85" s="98">
        <f>K85+N85</f>
        <v>0</v>
      </c>
      <c r="K85" s="45">
        <f>SUM(L85:M85)</f>
        <v>0</v>
      </c>
      <c r="L85" s="1986">
        <f>'6A - 4%'!K90</f>
        <v>0</v>
      </c>
      <c r="M85" s="1987">
        <f>'6A - 4%'!S90</f>
        <v>0</v>
      </c>
      <c r="N85" s="1848">
        <f>SUM(O85:P85)</f>
        <v>0</v>
      </c>
      <c r="O85" s="1986">
        <f>'6A - 9%'!K90</f>
        <v>0</v>
      </c>
      <c r="P85" s="1988">
        <f>'6A - 9%'!T90</f>
        <v>0</v>
      </c>
      <c r="Q85" s="896"/>
    </row>
    <row r="86" spans="2:17" ht="15.75" thickBot="1" x14ac:dyDescent="0.3">
      <c r="B86" s="1072"/>
      <c r="C86" s="110"/>
      <c r="D86" s="109"/>
      <c r="E86" s="109"/>
      <c r="F86" s="109"/>
      <c r="G86" s="113" t="s">
        <v>174</v>
      </c>
      <c r="H86" s="113"/>
      <c r="I86" s="704">
        <f>IFERROR(J86/J$113," ")</f>
        <v>1.9947675010891022E-2</v>
      </c>
      <c r="J86" s="99">
        <f t="shared" ref="J86:P86" si="23">SUM(J83:J85)</f>
        <v>796550</v>
      </c>
      <c r="K86" s="60">
        <f t="shared" si="23"/>
        <v>473000</v>
      </c>
      <c r="L86" s="1086">
        <f t="shared" si="23"/>
        <v>473000</v>
      </c>
      <c r="M86" s="1087">
        <f t="shared" si="23"/>
        <v>0</v>
      </c>
      <c r="N86" s="1846">
        <f t="shared" si="23"/>
        <v>323550</v>
      </c>
      <c r="O86" s="1086">
        <f t="shared" si="23"/>
        <v>298550</v>
      </c>
      <c r="P86" s="1090">
        <f t="shared" si="23"/>
        <v>25000</v>
      </c>
      <c r="Q86" s="896"/>
    </row>
    <row r="87" spans="2:17" ht="3.75" customHeight="1" x14ac:dyDescent="0.25">
      <c r="B87" s="1072"/>
      <c r="C87" s="109"/>
      <c r="D87" s="109"/>
      <c r="E87" s="109"/>
      <c r="F87" s="109"/>
      <c r="G87" s="109"/>
      <c r="H87" s="109"/>
      <c r="I87" s="1074"/>
      <c r="J87" s="1091"/>
      <c r="K87" s="110"/>
      <c r="L87" s="141"/>
      <c r="M87" s="141"/>
      <c r="N87" s="141"/>
      <c r="O87" s="141"/>
      <c r="P87" s="141"/>
      <c r="Q87" s="896"/>
    </row>
    <row r="88" spans="2:17" ht="15.75" thickBot="1" x14ac:dyDescent="0.3">
      <c r="B88" s="1072"/>
      <c r="C88" s="143" t="s">
        <v>224</v>
      </c>
      <c r="D88" s="143"/>
      <c r="E88" s="143"/>
      <c r="F88" s="143"/>
      <c r="G88" s="143"/>
      <c r="H88" s="112"/>
      <c r="I88" s="112"/>
      <c r="J88" s="112"/>
      <c r="K88" s="112"/>
      <c r="L88" s="43"/>
      <c r="M88" s="43"/>
      <c r="N88" s="43"/>
      <c r="O88" s="43"/>
      <c r="P88" s="43"/>
      <c r="Q88" s="896"/>
    </row>
    <row r="89" spans="2:17" x14ac:dyDescent="0.25">
      <c r="B89" s="1072"/>
      <c r="C89" s="110"/>
      <c r="D89" s="264" t="s">
        <v>225</v>
      </c>
      <c r="E89" s="264"/>
      <c r="F89" s="264"/>
      <c r="G89" s="264"/>
      <c r="H89" s="264"/>
      <c r="I89" s="702">
        <f t="shared" ref="I89:I100" si="24">IFERROR(J89/J$113," ")</f>
        <v>0</v>
      </c>
      <c r="J89" s="96">
        <f t="shared" ref="J89:J99" si="25">K89+N89</f>
        <v>0</v>
      </c>
      <c r="K89" s="57">
        <f t="shared" ref="K89:K99" si="26">SUM(L89:M89)</f>
        <v>0</v>
      </c>
      <c r="L89" s="1983">
        <f>'6A - 4%'!K94</f>
        <v>0</v>
      </c>
      <c r="M89" s="1984">
        <f>'6A - 4%'!S94</f>
        <v>0</v>
      </c>
      <c r="N89" s="1847">
        <f t="shared" ref="N89:N99" si="27">SUM(O89:P89)</f>
        <v>0</v>
      </c>
      <c r="O89" s="1973">
        <f>'6A - 9%'!K94</f>
        <v>0</v>
      </c>
      <c r="P89" s="1974">
        <f>'6A - 9%'!T94</f>
        <v>0</v>
      </c>
      <c r="Q89" s="896"/>
    </row>
    <row r="90" spans="2:17" x14ac:dyDescent="0.25">
      <c r="B90" s="1072"/>
      <c r="C90" s="110"/>
      <c r="D90" s="115" t="s">
        <v>226</v>
      </c>
      <c r="E90" s="115"/>
      <c r="F90" s="115"/>
      <c r="G90" s="115"/>
      <c r="H90" s="115"/>
      <c r="I90" s="703">
        <f t="shared" si="24"/>
        <v>1.9408007197841369E-3</v>
      </c>
      <c r="J90" s="97">
        <f t="shared" si="25"/>
        <v>77500</v>
      </c>
      <c r="K90" s="45">
        <f t="shared" si="26"/>
        <v>45726</v>
      </c>
      <c r="L90" s="1977">
        <f>'6A - 4%'!K95</f>
        <v>45726</v>
      </c>
      <c r="M90" s="1985">
        <f>'6A - 4%'!S95</f>
        <v>0</v>
      </c>
      <c r="N90" s="1844">
        <f t="shared" si="27"/>
        <v>31774</v>
      </c>
      <c r="O90" s="1977">
        <f>'6A - 9%'!K95</f>
        <v>30371</v>
      </c>
      <c r="P90" s="1978">
        <f>'6A - 9%'!T95</f>
        <v>1403</v>
      </c>
      <c r="Q90" s="896"/>
    </row>
    <row r="91" spans="2:17" x14ac:dyDescent="0.25">
      <c r="B91" s="1072"/>
      <c r="C91" s="110"/>
      <c r="D91" s="115" t="s">
        <v>118</v>
      </c>
      <c r="E91" s="115"/>
      <c r="F91" s="115"/>
      <c r="G91" s="115"/>
      <c r="H91" s="115"/>
      <c r="I91" s="703">
        <f t="shared" si="24"/>
        <v>5.0085430291296404E-3</v>
      </c>
      <c r="J91" s="97">
        <f t="shared" si="25"/>
        <v>200001</v>
      </c>
      <c r="K91" s="45">
        <f t="shared" si="26"/>
        <v>118003</v>
      </c>
      <c r="L91" s="1977">
        <f>'6A - 4%'!K96</f>
        <v>118003</v>
      </c>
      <c r="M91" s="1985">
        <f>'6A - 4%'!S96</f>
        <v>0</v>
      </c>
      <c r="N91" s="1844">
        <f t="shared" si="27"/>
        <v>81998</v>
      </c>
      <c r="O91" s="1977">
        <f>'6A - 9%'!K96</f>
        <v>78378</v>
      </c>
      <c r="P91" s="1978">
        <f>'6A - 9%'!T96</f>
        <v>3620</v>
      </c>
      <c r="Q91" s="896"/>
    </row>
    <row r="92" spans="2:17" x14ac:dyDescent="0.25">
      <c r="B92" s="1072"/>
      <c r="C92" s="110"/>
      <c r="D92" s="115" t="s">
        <v>227</v>
      </c>
      <c r="E92" s="115"/>
      <c r="F92" s="115"/>
      <c r="G92" s="115"/>
      <c r="H92" s="115"/>
      <c r="I92" s="703">
        <f t="shared" si="24"/>
        <v>0</v>
      </c>
      <c r="J92" s="97">
        <f t="shared" si="25"/>
        <v>0</v>
      </c>
      <c r="K92" s="45">
        <f t="shared" si="26"/>
        <v>0</v>
      </c>
      <c r="L92" s="1977">
        <f>'6A - 4%'!K97</f>
        <v>0</v>
      </c>
      <c r="M92" s="1985">
        <f>'6A - 4%'!S97</f>
        <v>0</v>
      </c>
      <c r="N92" s="1844">
        <f t="shared" si="27"/>
        <v>0</v>
      </c>
      <c r="O92" s="1977">
        <f>'6A - 9%'!K97</f>
        <v>0</v>
      </c>
      <c r="P92" s="1978">
        <f>'6A - 9%'!T97</f>
        <v>0</v>
      </c>
      <c r="Q92" s="896"/>
    </row>
    <row r="93" spans="2:17" x14ac:dyDescent="0.25">
      <c r="B93" s="1072"/>
      <c r="C93" s="110"/>
      <c r="D93" s="115" t="s">
        <v>228</v>
      </c>
      <c r="E93" s="115"/>
      <c r="F93" s="115"/>
      <c r="G93" s="706" t="str">
        <f>IF(AND(J93&lt;&gt;0,'6E -4%'!I55=0),"Complete Form 6E","")</f>
        <v/>
      </c>
      <c r="H93" s="115"/>
      <c r="I93" s="703">
        <f t="shared" si="24"/>
        <v>3.5152283488528939E-2</v>
      </c>
      <c r="J93" s="97">
        <f t="shared" si="25"/>
        <v>1403700</v>
      </c>
      <c r="K93" s="45">
        <f t="shared" si="26"/>
        <v>848731</v>
      </c>
      <c r="L93" s="1977">
        <f>'6A - 4%'!K98</f>
        <v>848731</v>
      </c>
      <c r="M93" s="1985">
        <f>'6A - 4%'!S98</f>
        <v>0</v>
      </c>
      <c r="N93" s="1844">
        <f t="shared" si="27"/>
        <v>554969</v>
      </c>
      <c r="O93" s="1977">
        <f>'6A - 9%'!K98</f>
        <v>544387</v>
      </c>
      <c r="P93" s="1978">
        <f>'6A - 9%'!T98</f>
        <v>10582</v>
      </c>
      <c r="Q93" s="896"/>
    </row>
    <row r="94" spans="2:17" x14ac:dyDescent="0.25">
      <c r="B94" s="1072"/>
      <c r="C94" s="110"/>
      <c r="D94" s="114" t="s">
        <v>229</v>
      </c>
      <c r="E94" s="114"/>
      <c r="F94" s="114"/>
      <c r="G94" s="114"/>
      <c r="H94" s="114"/>
      <c r="I94" s="703">
        <f t="shared" si="24"/>
        <v>0</v>
      </c>
      <c r="J94" s="97">
        <f t="shared" si="25"/>
        <v>0</v>
      </c>
      <c r="K94" s="45">
        <f t="shared" si="26"/>
        <v>0</v>
      </c>
      <c r="L94" s="1977">
        <f>'6A - 4%'!K99</f>
        <v>0</v>
      </c>
      <c r="M94" s="1985">
        <f>'6A - 4%'!S99</f>
        <v>0</v>
      </c>
      <c r="N94" s="1844">
        <f t="shared" si="27"/>
        <v>0</v>
      </c>
      <c r="O94" s="1977">
        <f>'6A - 9%'!K99</f>
        <v>0</v>
      </c>
      <c r="P94" s="1978">
        <f>'6A - 9%'!T99</f>
        <v>0</v>
      </c>
      <c r="Q94" s="896"/>
    </row>
    <row r="95" spans="2:17" x14ac:dyDescent="0.25">
      <c r="B95" s="1072"/>
      <c r="C95" s="110"/>
      <c r="D95" s="114" t="s">
        <v>230</v>
      </c>
      <c r="E95" s="114"/>
      <c r="F95" s="114"/>
      <c r="G95" s="114"/>
      <c r="H95" s="114"/>
      <c r="I95" s="703">
        <f t="shared" si="24"/>
        <v>0</v>
      </c>
      <c r="J95" s="97">
        <f t="shared" si="25"/>
        <v>0</v>
      </c>
      <c r="K95" s="45">
        <f t="shared" si="26"/>
        <v>0</v>
      </c>
      <c r="L95" s="1977">
        <f>'6A - 4%'!K100</f>
        <v>0</v>
      </c>
      <c r="M95" s="1985">
        <f>'6A - 4%'!S100</f>
        <v>0</v>
      </c>
      <c r="N95" s="1844">
        <f t="shared" si="27"/>
        <v>0</v>
      </c>
      <c r="O95" s="1977">
        <f>'6A - 9%'!K100</f>
        <v>0</v>
      </c>
      <c r="P95" s="1978">
        <f>'6A - 9%'!T100</f>
        <v>0</v>
      </c>
      <c r="Q95" s="896"/>
    </row>
    <row r="96" spans="2:17" x14ac:dyDescent="0.25">
      <c r="B96" s="1072"/>
      <c r="C96" s="110"/>
      <c r="D96" s="114" t="s">
        <v>231</v>
      </c>
      <c r="E96" s="114"/>
      <c r="F96" s="114"/>
      <c r="G96" s="114"/>
      <c r="H96" s="114"/>
      <c r="I96" s="703">
        <f t="shared" si="24"/>
        <v>5.4342420153955831E-6</v>
      </c>
      <c r="J96" s="97">
        <f t="shared" si="25"/>
        <v>217</v>
      </c>
      <c r="K96" s="45">
        <f t="shared" si="26"/>
        <v>0</v>
      </c>
      <c r="L96" s="1977">
        <f>'6A - 4%'!K101</f>
        <v>0</v>
      </c>
      <c r="M96" s="1985">
        <f>'6A - 4%'!S101</f>
        <v>0</v>
      </c>
      <c r="N96" s="1844">
        <f t="shared" si="27"/>
        <v>217</v>
      </c>
      <c r="O96" s="1977">
        <f>'6A - 9%'!K101</f>
        <v>0</v>
      </c>
      <c r="P96" s="1978">
        <f>'6A - 9%'!T101</f>
        <v>217</v>
      </c>
      <c r="Q96" s="896"/>
    </row>
    <row r="97" spans="2:17" x14ac:dyDescent="0.25">
      <c r="B97" s="1072"/>
      <c r="C97" s="110"/>
      <c r="D97" s="115" t="s">
        <v>232</v>
      </c>
      <c r="E97" s="115"/>
      <c r="F97" s="115"/>
      <c r="G97" s="115"/>
      <c r="H97" s="115"/>
      <c r="I97" s="703">
        <f t="shared" si="24"/>
        <v>2.9507683717698688E-4</v>
      </c>
      <c r="J97" s="97">
        <f t="shared" si="25"/>
        <v>11783</v>
      </c>
      <c r="K97" s="45">
        <f t="shared" si="26"/>
        <v>7080</v>
      </c>
      <c r="L97" s="1977">
        <f>'6A - 4%'!K102</f>
        <v>7080</v>
      </c>
      <c r="M97" s="1985">
        <f>'6A - 4%'!S102</f>
        <v>0</v>
      </c>
      <c r="N97" s="1844">
        <f t="shared" si="27"/>
        <v>4703</v>
      </c>
      <c r="O97" s="1977">
        <f>'6A - 9%'!K102</f>
        <v>4703</v>
      </c>
      <c r="P97" s="1978">
        <f>'6A - 9%'!T102</f>
        <v>0</v>
      </c>
      <c r="Q97" s="896"/>
    </row>
    <row r="98" spans="2:17" x14ac:dyDescent="0.25">
      <c r="B98" s="1072"/>
      <c r="C98" s="110"/>
      <c r="D98" s="114" t="s">
        <v>233</v>
      </c>
      <c r="E98" s="114"/>
      <c r="F98" s="114"/>
      <c r="G98" s="114"/>
      <c r="H98" s="114"/>
      <c r="I98" s="703">
        <f t="shared" si="24"/>
        <v>7.7947565424517481E-4</v>
      </c>
      <c r="J98" s="97">
        <f t="shared" si="25"/>
        <v>31126</v>
      </c>
      <c r="K98" s="45">
        <f t="shared" si="26"/>
        <v>8631</v>
      </c>
      <c r="L98" s="1977">
        <f>'6A - 4%'!K103</f>
        <v>8631</v>
      </c>
      <c r="M98" s="1985">
        <f>'6A - 4%'!S103</f>
        <v>0</v>
      </c>
      <c r="N98" s="1844">
        <f t="shared" si="27"/>
        <v>22495</v>
      </c>
      <c r="O98" s="1977">
        <f>'6A - 9%'!K103</f>
        <v>7495</v>
      </c>
      <c r="P98" s="1978">
        <f>'6A - 9%'!T103</f>
        <v>15000</v>
      </c>
      <c r="Q98" s="896"/>
    </row>
    <row r="99" spans="2:17" x14ac:dyDescent="0.25">
      <c r="B99" s="1072"/>
      <c r="C99" s="110"/>
      <c r="D99" s="115" t="s">
        <v>646</v>
      </c>
      <c r="E99" s="115"/>
      <c r="F99" s="115"/>
      <c r="G99" s="115"/>
      <c r="H99" s="115"/>
      <c r="I99" s="703">
        <f t="shared" si="24"/>
        <v>0</v>
      </c>
      <c r="J99" s="98">
        <f t="shared" si="25"/>
        <v>0</v>
      </c>
      <c r="K99" s="45">
        <f t="shared" si="26"/>
        <v>0</v>
      </c>
      <c r="L99" s="1986">
        <f>'6A - 4%'!K104</f>
        <v>0</v>
      </c>
      <c r="M99" s="1987">
        <f>'6A - 4%'!S104</f>
        <v>0</v>
      </c>
      <c r="N99" s="1848">
        <f t="shared" si="27"/>
        <v>0</v>
      </c>
      <c r="O99" s="1986">
        <f>'6A - 9%'!K104</f>
        <v>0</v>
      </c>
      <c r="P99" s="1988">
        <f>'6A - 9%'!T104</f>
        <v>0</v>
      </c>
      <c r="Q99" s="896"/>
    </row>
    <row r="100" spans="2:17" ht="15.75" thickBot="1" x14ac:dyDescent="0.3">
      <c r="B100" s="1072"/>
      <c r="C100" s="110"/>
      <c r="D100" s="109"/>
      <c r="E100" s="109"/>
      <c r="F100" s="109"/>
      <c r="G100" s="113" t="s">
        <v>174</v>
      </c>
      <c r="H100" s="113"/>
      <c r="I100" s="704">
        <f t="shared" si="24"/>
        <v>4.3181613970880273E-2</v>
      </c>
      <c r="J100" s="99">
        <f t="shared" ref="J100:P100" si="28">SUM(J89:J99)</f>
        <v>1724327</v>
      </c>
      <c r="K100" s="60">
        <f t="shared" si="28"/>
        <v>1028171</v>
      </c>
      <c r="L100" s="1086">
        <f t="shared" si="28"/>
        <v>1028171</v>
      </c>
      <c r="M100" s="1087">
        <f t="shared" si="28"/>
        <v>0</v>
      </c>
      <c r="N100" s="1846">
        <f t="shared" si="28"/>
        <v>696156</v>
      </c>
      <c r="O100" s="1086">
        <f t="shared" si="28"/>
        <v>665334</v>
      </c>
      <c r="P100" s="1090">
        <f t="shared" si="28"/>
        <v>30822</v>
      </c>
      <c r="Q100" s="896"/>
    </row>
    <row r="101" spans="2:17" ht="9" customHeight="1" thickBot="1" x14ac:dyDescent="0.3">
      <c r="B101" s="1092"/>
      <c r="C101" s="87"/>
      <c r="D101" s="88"/>
      <c r="E101" s="88"/>
      <c r="F101" s="88"/>
      <c r="G101" s="88"/>
      <c r="H101" s="88"/>
      <c r="I101" s="916"/>
      <c r="J101" s="1093"/>
      <c r="K101" s="1102"/>
      <c r="L101" s="89"/>
      <c r="M101" s="89"/>
      <c r="N101" s="89"/>
      <c r="O101" s="89"/>
      <c r="P101" s="89"/>
      <c r="Q101" s="917"/>
    </row>
    <row r="102" spans="2:17" ht="3.75" customHeight="1" x14ac:dyDescent="0.25">
      <c r="B102" s="1072"/>
      <c r="C102" s="112"/>
      <c r="D102" s="113"/>
      <c r="E102" s="113"/>
      <c r="F102" s="113"/>
      <c r="G102" s="113"/>
      <c r="H102" s="113"/>
      <c r="I102" s="1074"/>
      <c r="J102" s="1074"/>
      <c r="K102" s="110"/>
      <c r="L102" s="40"/>
      <c r="M102" s="40"/>
      <c r="N102" s="40"/>
      <c r="O102" s="40"/>
      <c r="P102" s="40"/>
      <c r="Q102" s="896"/>
    </row>
    <row r="103" spans="2:17" ht="15.75" thickBot="1" x14ac:dyDescent="0.3">
      <c r="B103" s="1072"/>
      <c r="C103" s="143" t="s">
        <v>235</v>
      </c>
      <c r="D103" s="143"/>
      <c r="E103" s="143"/>
      <c r="F103" s="143"/>
      <c r="G103" s="143"/>
      <c r="H103" s="112"/>
      <c r="I103" s="112"/>
      <c r="J103" s="112"/>
      <c r="K103" s="112"/>
      <c r="L103" s="40"/>
      <c r="M103" s="40"/>
      <c r="N103" s="40"/>
      <c r="O103" s="40"/>
      <c r="P103" s="40"/>
      <c r="Q103" s="896"/>
    </row>
    <row r="104" spans="2:17" x14ac:dyDescent="0.25">
      <c r="B104" s="1072"/>
      <c r="C104" s="133"/>
      <c r="D104" s="263" t="s">
        <v>236</v>
      </c>
      <c r="E104" s="263"/>
      <c r="F104" s="263"/>
      <c r="G104" s="263"/>
      <c r="H104" s="263"/>
      <c r="I104" s="702">
        <f t="shared" ref="I104:I111" si="29">IFERROR(J104/J$113," ")</f>
        <v>1.252129496634927E-3</v>
      </c>
      <c r="J104" s="93">
        <f t="shared" ref="J104:J110" si="30">K104+N104</f>
        <v>50000</v>
      </c>
      <c r="K104" s="57">
        <f t="shared" ref="K104:K110" si="31">SUM(L104:M104)</f>
        <v>50000</v>
      </c>
      <c r="L104" s="1983">
        <f>'6A - 4%'!K109</f>
        <v>50000</v>
      </c>
      <c r="M104" s="1984">
        <f>'6A - 4%'!S109</f>
        <v>0</v>
      </c>
      <c r="N104" s="1847">
        <f t="shared" ref="N104:N110" si="32">SUM(O104:P104)</f>
        <v>0</v>
      </c>
      <c r="O104" s="1973">
        <f>'6A - 9%'!K109</f>
        <v>0</v>
      </c>
      <c r="P104" s="1974">
        <f>'6A - 9%'!T109</f>
        <v>0</v>
      </c>
      <c r="Q104" s="896"/>
    </row>
    <row r="105" spans="2:17" x14ac:dyDescent="0.25">
      <c r="B105" s="1072"/>
      <c r="C105" s="133"/>
      <c r="D105" s="109" t="s">
        <v>237</v>
      </c>
      <c r="E105" s="109"/>
      <c r="F105" s="109"/>
      <c r="G105" s="109"/>
      <c r="H105" s="109"/>
      <c r="I105" s="703">
        <f t="shared" si="29"/>
        <v>1.0017035973079417E-3</v>
      </c>
      <c r="J105" s="94">
        <f t="shared" si="30"/>
        <v>40000</v>
      </c>
      <c r="K105" s="61">
        <f t="shared" si="31"/>
        <v>40000</v>
      </c>
      <c r="L105" s="1977">
        <f>'6A - 4%'!K110</f>
        <v>40000</v>
      </c>
      <c r="M105" s="1985">
        <f>'6A - 4%'!S110</f>
        <v>0</v>
      </c>
      <c r="N105" s="1849">
        <f t="shared" si="32"/>
        <v>0</v>
      </c>
      <c r="O105" s="1977">
        <f>'6A - 9%'!K110</f>
        <v>0</v>
      </c>
      <c r="P105" s="1978">
        <f>'6A - 9%'!T110</f>
        <v>0</v>
      </c>
      <c r="Q105" s="896"/>
    </row>
    <row r="106" spans="2:17" x14ac:dyDescent="0.25">
      <c r="B106" s="1072"/>
      <c r="C106" s="110"/>
      <c r="D106" s="109" t="s">
        <v>238</v>
      </c>
      <c r="E106" s="109"/>
      <c r="F106" s="109"/>
      <c r="G106" s="109"/>
      <c r="H106" s="109"/>
      <c r="I106" s="703">
        <f t="shared" si="29"/>
        <v>0</v>
      </c>
      <c r="J106" s="94">
        <f t="shared" si="30"/>
        <v>0</v>
      </c>
      <c r="K106" s="61">
        <f t="shared" si="31"/>
        <v>0</v>
      </c>
      <c r="L106" s="1977">
        <f>'6A - 4%'!K111</f>
        <v>0</v>
      </c>
      <c r="M106" s="1985">
        <f>'6A - 4%'!S111</f>
        <v>0</v>
      </c>
      <c r="N106" s="1849">
        <f t="shared" si="32"/>
        <v>0</v>
      </c>
      <c r="O106" s="1977">
        <f>'6A - 9%'!K111</f>
        <v>0</v>
      </c>
      <c r="P106" s="1978">
        <f>'6A - 9%'!T111</f>
        <v>0</v>
      </c>
      <c r="Q106" s="896"/>
    </row>
    <row r="107" spans="2:17" x14ac:dyDescent="0.25">
      <c r="B107" s="1072"/>
      <c r="C107" s="110"/>
      <c r="D107" s="109" t="s">
        <v>239</v>
      </c>
      <c r="E107" s="109"/>
      <c r="F107" s="109"/>
      <c r="G107" s="109"/>
      <c r="H107" s="109"/>
      <c r="I107" s="703">
        <f>IFERROR(J107/J$113," ")</f>
        <v>0</v>
      </c>
      <c r="J107" s="94">
        <f t="shared" si="30"/>
        <v>0</v>
      </c>
      <c r="K107" s="61">
        <f t="shared" si="31"/>
        <v>0</v>
      </c>
      <c r="L107" s="1977">
        <f>'6A - 4%'!K112</f>
        <v>0</v>
      </c>
      <c r="M107" s="1985">
        <f>'6A - 4%'!S112</f>
        <v>0</v>
      </c>
      <c r="N107" s="1849">
        <f t="shared" si="32"/>
        <v>0</v>
      </c>
      <c r="O107" s="1977">
        <f>'6A - 9%'!K112</f>
        <v>0</v>
      </c>
      <c r="P107" s="1978">
        <f>'6A - 9%'!T112</f>
        <v>0</v>
      </c>
      <c r="Q107" s="896"/>
    </row>
    <row r="108" spans="2:17" x14ac:dyDescent="0.25">
      <c r="B108" s="1072"/>
      <c r="C108" s="110"/>
      <c r="D108" s="109" t="s">
        <v>240</v>
      </c>
      <c r="E108" s="109"/>
      <c r="F108" s="109"/>
      <c r="G108" s="109"/>
      <c r="H108" s="109"/>
      <c r="I108" s="703">
        <f t="shared" si="29"/>
        <v>0</v>
      </c>
      <c r="J108" s="94">
        <f t="shared" si="30"/>
        <v>0</v>
      </c>
      <c r="K108" s="61">
        <f t="shared" si="31"/>
        <v>0</v>
      </c>
      <c r="L108" s="1977">
        <f>'6A - 4%'!K113</f>
        <v>0</v>
      </c>
      <c r="M108" s="1985">
        <f>'6A - 4%'!S113</f>
        <v>0</v>
      </c>
      <c r="N108" s="1849">
        <f t="shared" si="32"/>
        <v>0</v>
      </c>
      <c r="O108" s="1977">
        <f>'6A - 9%'!K113</f>
        <v>0</v>
      </c>
      <c r="P108" s="1978">
        <f>'6A - 9%'!T113</f>
        <v>0</v>
      </c>
      <c r="Q108" s="896"/>
    </row>
    <row r="109" spans="2:17" x14ac:dyDescent="0.25">
      <c r="B109" s="1072"/>
      <c r="C109" s="110"/>
      <c r="D109" s="109" t="s">
        <v>241</v>
      </c>
      <c r="E109" s="109"/>
      <c r="F109" s="109"/>
      <c r="G109" s="109"/>
      <c r="H109" s="109"/>
      <c r="I109" s="703">
        <f t="shared" si="29"/>
        <v>0</v>
      </c>
      <c r="J109" s="94">
        <f t="shared" si="30"/>
        <v>0</v>
      </c>
      <c r="K109" s="61">
        <f t="shared" si="31"/>
        <v>0</v>
      </c>
      <c r="L109" s="1977">
        <f>'6A - 4%'!K114</f>
        <v>0</v>
      </c>
      <c r="M109" s="1985">
        <f>'6A - 4%'!S114</f>
        <v>0</v>
      </c>
      <c r="N109" s="1849">
        <f t="shared" si="32"/>
        <v>0</v>
      </c>
      <c r="O109" s="1977">
        <f>'6A - 9%'!K114</f>
        <v>0</v>
      </c>
      <c r="P109" s="1978">
        <f>'6A - 9%'!T114</f>
        <v>0</v>
      </c>
      <c r="Q109" s="896"/>
    </row>
    <row r="110" spans="2:17" x14ac:dyDescent="0.25">
      <c r="B110" s="1072"/>
      <c r="C110" s="110"/>
      <c r="D110" s="109" t="s">
        <v>242</v>
      </c>
      <c r="E110" s="109"/>
      <c r="F110" s="109"/>
      <c r="G110" s="109"/>
      <c r="H110" s="109"/>
      <c r="I110" s="705">
        <f t="shared" si="29"/>
        <v>0</v>
      </c>
      <c r="J110" s="95">
        <f t="shared" si="30"/>
        <v>0</v>
      </c>
      <c r="K110" s="61">
        <f t="shared" si="31"/>
        <v>0</v>
      </c>
      <c r="L110" s="1986">
        <f>'6A - 4%'!K115</f>
        <v>0</v>
      </c>
      <c r="M110" s="1987">
        <f>'6A - 4%'!S115</f>
        <v>0</v>
      </c>
      <c r="N110" s="1850">
        <f t="shared" si="32"/>
        <v>0</v>
      </c>
      <c r="O110" s="1986">
        <f>'6A - 9%'!K115</f>
        <v>0</v>
      </c>
      <c r="P110" s="1988">
        <f>'6A - 9%'!T115</f>
        <v>0</v>
      </c>
      <c r="Q110" s="896"/>
    </row>
    <row r="111" spans="2:17" ht="15.75" thickBot="1" x14ac:dyDescent="0.3">
      <c r="B111" s="1072"/>
      <c r="C111" s="110"/>
      <c r="D111" s="109"/>
      <c r="E111" s="109"/>
      <c r="F111" s="109"/>
      <c r="G111" s="113" t="s">
        <v>174</v>
      </c>
      <c r="H111" s="113"/>
      <c r="I111" s="704">
        <f t="shared" si="29"/>
        <v>2.2538330939428685E-3</v>
      </c>
      <c r="J111" s="99">
        <f t="shared" ref="J111:P111" si="33">SUM(J104:J110)</f>
        <v>90000</v>
      </c>
      <c r="K111" s="60">
        <f t="shared" si="33"/>
        <v>90000</v>
      </c>
      <c r="L111" s="1086">
        <f t="shared" si="33"/>
        <v>90000</v>
      </c>
      <c r="M111" s="1087">
        <f t="shared" si="33"/>
        <v>0</v>
      </c>
      <c r="N111" s="1846">
        <f t="shared" si="33"/>
        <v>0</v>
      </c>
      <c r="O111" s="1086">
        <f t="shared" si="33"/>
        <v>0</v>
      </c>
      <c r="P111" s="1090">
        <f t="shared" si="33"/>
        <v>0</v>
      </c>
      <c r="Q111" s="896"/>
    </row>
    <row r="112" spans="2:17" ht="7.5" customHeight="1" thickBot="1" x14ac:dyDescent="0.3">
      <c r="B112" s="1072"/>
      <c r="C112" s="115"/>
      <c r="D112" s="109"/>
      <c r="E112" s="109"/>
      <c r="F112" s="109"/>
      <c r="G112" s="109"/>
      <c r="H112" s="109"/>
      <c r="I112" s="110"/>
      <c r="J112" s="44"/>
      <c r="K112" s="110"/>
      <c r="L112" s="44"/>
      <c r="M112" s="44"/>
      <c r="N112" s="44"/>
      <c r="O112" s="44"/>
      <c r="P112" s="44"/>
      <c r="Q112" s="896"/>
    </row>
    <row r="113" spans="2:17" ht="15.75" thickBot="1" x14ac:dyDescent="0.3">
      <c r="B113" s="1072"/>
      <c r="C113" s="265" t="s">
        <v>243</v>
      </c>
      <c r="D113" s="266"/>
      <c r="E113" s="266"/>
      <c r="F113" s="266"/>
      <c r="G113" s="266"/>
      <c r="H113" s="266"/>
      <c r="I113" s="91"/>
      <c r="J113" s="82">
        <f>J21+J40+J56+J61+J69+J80+J86+J100+J111</f>
        <v>39931972</v>
      </c>
      <c r="K113" s="58">
        <f>K21+K40+K56+K61+K69+K80+K86+K100+K111</f>
        <v>23156305</v>
      </c>
      <c r="L113" s="1104"/>
      <c r="M113" s="1104"/>
      <c r="N113" s="1851">
        <f>N21+N40+N56+N61+N69+N80+N86+N100+N111</f>
        <v>16775667</v>
      </c>
      <c r="O113" s="1852"/>
      <c r="P113" s="1853"/>
      <c r="Q113" s="896"/>
    </row>
    <row r="114" spans="2:17" ht="15.75" thickBot="1" x14ac:dyDescent="0.3">
      <c r="B114" s="1072"/>
      <c r="C114" s="267" t="s">
        <v>244</v>
      </c>
      <c r="D114" s="268"/>
      <c r="E114" s="268"/>
      <c r="F114" s="268"/>
      <c r="G114" s="268"/>
      <c r="H114" s="268"/>
      <c r="I114" s="92"/>
      <c r="J114" s="81">
        <f>K114+N114</f>
        <v>39931972</v>
      </c>
      <c r="K114" s="60">
        <f>SUM(L114:M114)</f>
        <v>23156305</v>
      </c>
      <c r="L114" s="1106">
        <f>L21+L40+L56+L61+L69+L80+L86+L100+L111</f>
        <v>23156305</v>
      </c>
      <c r="M114" s="1107">
        <f>M21+M40+M56+M61+M69+M80+M86+M100+M111</f>
        <v>0</v>
      </c>
      <c r="N114" s="1846">
        <f>SUM(O114:P114)</f>
        <v>16775667</v>
      </c>
      <c r="O114" s="1854">
        <f>O21+O40+O56+O61+O69+O80+O86+O100+O111</f>
        <v>16215812</v>
      </c>
      <c r="P114" s="1855">
        <f>P21+P40+P56+P61+P69+P80+P86+P100+P111</f>
        <v>559855</v>
      </c>
      <c r="Q114" s="896"/>
    </row>
    <row r="115" spans="2:17" x14ac:dyDescent="0.25">
      <c r="B115" s="1072"/>
      <c r="C115" s="707"/>
      <c r="D115" s="707"/>
      <c r="E115" s="707"/>
      <c r="F115" s="707"/>
      <c r="G115" s="707"/>
      <c r="H115" s="707"/>
      <c r="I115" s="708"/>
      <c r="J115" s="814"/>
      <c r="K115" s="709" t="str">
        <f>IF(J114&lt;&gt;('7A (ROLLUP)'!F54),"WARNING: Sources (Form 7A ROLLUP) do not match Uses","")</f>
        <v/>
      </c>
      <c r="L115" s="40"/>
      <c r="M115" s="40"/>
      <c r="N115" s="40"/>
      <c r="O115" s="40"/>
      <c r="P115" s="40"/>
      <c r="Q115" s="896"/>
    </row>
    <row r="116" spans="2:17" ht="9" customHeight="1" thickBot="1" x14ac:dyDescent="0.3">
      <c r="B116" s="1092"/>
      <c r="C116" s="1111"/>
      <c r="D116" s="1111"/>
      <c r="E116" s="1111"/>
      <c r="F116" s="1111"/>
      <c r="G116" s="1111"/>
      <c r="H116" s="1111"/>
      <c r="I116" s="1111"/>
      <c r="J116" s="1112" t="s">
        <v>34</v>
      </c>
      <c r="K116" s="1111"/>
      <c r="L116" s="1111"/>
      <c r="M116" s="1111"/>
      <c r="N116" s="1111"/>
      <c r="O116" s="1111"/>
      <c r="P116" s="1111"/>
      <c r="Q116" s="1113"/>
    </row>
  </sheetData>
  <sheetProtection password="9F6B" sheet="1" objects="1" scenarios="1" formatCells="0" formatColumns="0" formatRows="0"/>
  <mergeCells count="11">
    <mergeCell ref="C7:P7"/>
    <mergeCell ref="K11:M11"/>
    <mergeCell ref="N11:P11"/>
    <mergeCell ref="L12:L13"/>
    <mergeCell ref="M12:M13"/>
    <mergeCell ref="I11:I13"/>
    <mergeCell ref="J11:J13"/>
    <mergeCell ref="O12:O13"/>
    <mergeCell ref="P12:P13"/>
    <mergeCell ref="K12:K13"/>
    <mergeCell ref="N12:N13"/>
  </mergeCells>
  <dataValidations disablePrompts="1" count="2">
    <dataValidation allowBlank="1" showInputMessage="1" showErrorMessage="1" promptTitle="Rehab Contingency %" prompt="Defined as Rehab Contingency divided by the sum of Rehab, Contractor Profit, Contractor Overhead, and Bond Premium amounts_x000a__x000a_% =J27 / (J23+J24+J25+J34)" sqref="G30"/>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29"/>
  </dataValidations>
  <pageMargins left="0.25" right="0.25" top="0.75" bottom="0.75" header="0.3" footer="0.3"/>
  <pageSetup scale="79" fitToHeight="0" orientation="portrait" r:id="rId1"/>
  <headerFooter>
    <oddFooter>&amp;LForm 6A ROLLUP
Development Budgets&amp;CCFA Forms&amp;REdition: 2015
Version: 1.1</oddFooter>
  </headerFooter>
  <rowBreaks count="3" manualBreakCount="3">
    <brk id="41" min="1" max="21" man="1"/>
    <brk id="70" min="1" max="21" man="1"/>
    <brk id="101" min="1" max="21" man="1"/>
  </rowBreaks>
  <drawing r:id="rId2"/>
  <extLst>
    <ext xmlns:x14="http://schemas.microsoft.com/office/spreadsheetml/2009/9/main" uri="{78C0D931-6437-407d-A8EE-F0AAD7539E65}">
      <x14:conditionalFormattings>
        <x14:conditionalFormatting xmlns:xm="http://schemas.microsoft.com/office/excel/2006/main">
          <x14:cfRule type="expression" priority="1" id="{CA282EDD-DC90-4336-BA89-A9A3CCBFA12A}">
            <xm:f>$K$114&lt;&gt;('7A - 4%'!$F$36+'7A - 4%'!$F$44)</xm:f>
            <x14:dxf>
              <font>
                <color rgb="FF990000"/>
              </font>
              <fill>
                <patternFill>
                  <bgColor theme="5" tint="0.79998168889431442"/>
                </patternFill>
              </fill>
            </x14:dxf>
          </x14:cfRule>
          <xm:sqref>K114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V125"/>
  <sheetViews>
    <sheetView showGridLines="0" zoomScaleNormal="100" zoomScaleSheetLayoutView="100" workbookViewId="0">
      <selection activeCell="T19" sqref="T19"/>
    </sheetView>
  </sheetViews>
  <sheetFormatPr defaultRowHeight="15" x14ac:dyDescent="0.25"/>
  <cols>
    <col min="1" max="2" width="1.7109375" style="838" customWidth="1"/>
    <col min="3" max="3" width="2.85546875" style="838" customWidth="1"/>
    <col min="4" max="4" width="5.7109375" style="838" customWidth="1"/>
    <col min="5" max="5" width="8.5703125" style="838" customWidth="1"/>
    <col min="6" max="6" width="12.85546875" style="838" customWidth="1"/>
    <col min="7" max="7" width="10.7109375" style="838" customWidth="1"/>
    <col min="8" max="8" width="1.42578125" style="838" customWidth="1"/>
    <col min="9" max="9" width="7.85546875" style="838" customWidth="1"/>
    <col min="10" max="11" width="11.42578125" style="838" customWidth="1"/>
    <col min="12" max="12" width="9.5703125" style="838" bestFit="1" customWidth="1"/>
    <col min="13" max="13" width="10.42578125" style="838" bestFit="1" customWidth="1"/>
    <col min="14" max="14" width="14.28515625" style="838" bestFit="1" customWidth="1"/>
    <col min="15" max="15" width="11.5703125" style="838" customWidth="1"/>
    <col min="16" max="17" width="9.140625" style="838"/>
    <col min="18" max="18" width="0.7109375" style="838" customWidth="1"/>
    <col min="19" max="19" width="10.85546875" style="838" customWidth="1"/>
    <col min="20" max="20" width="9.5703125" style="838" bestFit="1" customWidth="1"/>
    <col min="21" max="21" width="9.140625" style="838"/>
    <col min="22" max="22" width="1.7109375" style="838" customWidth="1"/>
    <col min="23" max="16384" width="9.140625" style="838"/>
  </cols>
  <sheetData>
    <row r="9" spans="2:22" ht="9" customHeight="1" thickBot="1" x14ac:dyDescent="0.3"/>
    <row r="10" spans="2:22" ht="9" customHeight="1" x14ac:dyDescent="0.25">
      <c r="B10" s="1070"/>
      <c r="C10" s="1071"/>
      <c r="D10" s="1071"/>
      <c r="E10" s="1071"/>
      <c r="F10" s="1071"/>
      <c r="G10" s="1071"/>
      <c r="H10" s="1071"/>
      <c r="I10" s="892"/>
      <c r="J10" s="892"/>
      <c r="K10" s="892"/>
      <c r="L10" s="892"/>
      <c r="M10" s="1071"/>
      <c r="N10" s="1071"/>
      <c r="O10" s="83"/>
      <c r="P10" s="83"/>
      <c r="Q10" s="83"/>
      <c r="R10" s="83"/>
      <c r="S10" s="83"/>
      <c r="T10" s="83"/>
      <c r="U10" s="83"/>
      <c r="V10" s="84"/>
    </row>
    <row r="11" spans="2:22" ht="18.75" x14ac:dyDescent="0.3">
      <c r="B11" s="1072"/>
      <c r="C11" s="2106" t="s">
        <v>1373</v>
      </c>
      <c r="D11" s="2106"/>
      <c r="E11" s="2106"/>
      <c r="F11" s="2106"/>
      <c r="G11" s="2106"/>
      <c r="H11" s="2106"/>
      <c r="I11" s="2106"/>
      <c r="J11" s="2106"/>
      <c r="K11" s="2106"/>
      <c r="L11" s="2106"/>
      <c r="M11" s="2106"/>
      <c r="N11" s="2106"/>
      <c r="O11" s="2106"/>
      <c r="P11" s="2106"/>
      <c r="Q11" s="2106"/>
      <c r="R11" s="2106"/>
      <c r="S11" s="2106"/>
      <c r="T11" s="2106"/>
      <c r="U11" s="2106"/>
      <c r="V11" s="90"/>
    </row>
    <row r="12" spans="2:22" ht="15" customHeight="1" x14ac:dyDescent="0.25">
      <c r="B12" s="1072"/>
      <c r="C12" s="133"/>
      <c r="D12" s="133"/>
      <c r="E12" s="133"/>
      <c r="F12" s="133"/>
      <c r="G12" s="133"/>
      <c r="H12" s="133"/>
      <c r="I12" s="897"/>
      <c r="J12" s="814"/>
      <c r="K12" s="897"/>
      <c r="L12" s="897"/>
      <c r="M12" s="133"/>
      <c r="N12" s="133"/>
      <c r="O12" s="42"/>
      <c r="P12" s="42"/>
      <c r="Q12" s="42"/>
      <c r="R12" s="42"/>
      <c r="S12" s="42"/>
      <c r="T12" s="42"/>
      <c r="U12" s="42"/>
      <c r="V12" s="90"/>
    </row>
    <row r="13" spans="2:22" x14ac:dyDescent="0.25">
      <c r="B13" s="1073"/>
      <c r="C13" s="814"/>
      <c r="D13" s="257" t="s">
        <v>59</v>
      </c>
      <c r="E13" s="1074"/>
      <c r="F13" s="270" t="str">
        <f>IF('1A'!G5="","Enter Project Name on Form 1A",'1A'!G5)</f>
        <v>University District Apartments</v>
      </c>
      <c r="G13" s="270"/>
      <c r="H13" s="270"/>
      <c r="I13" s="270"/>
      <c r="J13" s="270"/>
      <c r="K13" s="270"/>
      <c r="L13" s="258"/>
      <c r="M13" s="257" t="s">
        <v>1400</v>
      </c>
      <c r="N13" s="1857" t="str">
        <f>IF('1A'!G29="","Enter Site Name on Form 1A",'1A'!G29)</f>
        <v>Project A-  4%</v>
      </c>
      <c r="O13" s="1857"/>
      <c r="P13" s="1857"/>
      <c r="Q13" s="1857"/>
      <c r="R13" s="1857"/>
      <c r="S13" s="1857"/>
      <c r="T13" s="1857"/>
      <c r="U13" s="133"/>
      <c r="V13" s="1075"/>
    </row>
    <row r="14" spans="2:22" ht="7.5" customHeight="1" thickBot="1" x14ac:dyDescent="0.3">
      <c r="B14" s="1073"/>
      <c r="C14" s="110"/>
      <c r="D14" s="41"/>
      <c r="E14" s="1074"/>
      <c r="F14" s="1074"/>
      <c r="G14" s="1074"/>
      <c r="H14" s="1074"/>
      <c r="I14" s="1074"/>
      <c r="J14" s="1074"/>
      <c r="K14" s="110"/>
      <c r="L14" s="1074"/>
      <c r="M14" s="110"/>
      <c r="N14" s="110"/>
      <c r="O14" s="110"/>
      <c r="P14" s="110"/>
      <c r="Q14" s="110"/>
      <c r="R14" s="110"/>
      <c r="S14" s="133"/>
      <c r="T14" s="133"/>
      <c r="U14" s="133"/>
      <c r="V14" s="1075"/>
    </row>
    <row r="15" spans="2:22" x14ac:dyDescent="0.25">
      <c r="B15" s="1072"/>
      <c r="C15" s="814"/>
      <c r="D15" s="271" t="s">
        <v>161</v>
      </c>
      <c r="E15" s="1074"/>
      <c r="F15" s="2006">
        <v>42628</v>
      </c>
      <c r="G15" s="897"/>
      <c r="H15" s="897"/>
      <c r="I15" s="2271" t="s">
        <v>162</v>
      </c>
      <c r="J15" s="2271" t="s">
        <v>163</v>
      </c>
      <c r="K15" s="2269" t="s">
        <v>60</v>
      </c>
      <c r="L15" s="2270"/>
      <c r="M15" s="2270"/>
      <c r="N15" s="2270"/>
      <c r="O15" s="2270"/>
      <c r="P15" s="2270"/>
      <c r="Q15" s="2270"/>
      <c r="R15" s="1076"/>
      <c r="S15" s="2267" t="s">
        <v>61</v>
      </c>
      <c r="T15" s="2267"/>
      <c r="U15" s="2268"/>
      <c r="V15" s="1075"/>
    </row>
    <row r="16" spans="2:22" x14ac:dyDescent="0.25">
      <c r="B16" s="1072"/>
      <c r="C16" s="110"/>
      <c r="D16" s="1074"/>
      <c r="E16" s="1074"/>
      <c r="F16" s="1074"/>
      <c r="G16" s="1074"/>
      <c r="H16" s="1074"/>
      <c r="I16" s="2261"/>
      <c r="J16" s="2261"/>
      <c r="K16" s="2272" t="s">
        <v>165</v>
      </c>
      <c r="L16" s="1077" t="s">
        <v>166</v>
      </c>
      <c r="M16" s="1077" t="s">
        <v>166</v>
      </c>
      <c r="N16" s="1077" t="s">
        <v>166</v>
      </c>
      <c r="O16" s="1077" t="s">
        <v>166</v>
      </c>
      <c r="P16" s="1077" t="s">
        <v>166</v>
      </c>
      <c r="Q16" s="1077" t="s">
        <v>166</v>
      </c>
      <c r="R16" s="1078"/>
      <c r="S16" s="2274" t="s">
        <v>648</v>
      </c>
      <c r="T16" s="1077" t="s">
        <v>166</v>
      </c>
      <c r="U16" s="1079" t="s">
        <v>166</v>
      </c>
      <c r="V16" s="1075"/>
    </row>
    <row r="17" spans="2:22" ht="15" customHeight="1" x14ac:dyDescent="0.25">
      <c r="B17" s="1072"/>
      <c r="C17" s="110"/>
      <c r="D17" s="1074"/>
      <c r="E17" s="1074"/>
      <c r="F17" s="1074"/>
      <c r="G17" s="1074"/>
      <c r="H17" s="1074"/>
      <c r="I17" s="2261"/>
      <c r="J17" s="2261"/>
      <c r="K17" s="2272"/>
      <c r="L17" s="2278" t="s">
        <v>1539</v>
      </c>
      <c r="M17" s="2278" t="s">
        <v>1543</v>
      </c>
      <c r="N17" s="2278" t="s">
        <v>1544</v>
      </c>
      <c r="O17" s="2278" t="s">
        <v>1542</v>
      </c>
      <c r="P17" s="2278" t="s">
        <v>1673</v>
      </c>
      <c r="Q17" s="2276" t="s">
        <v>167</v>
      </c>
      <c r="R17" s="1078"/>
      <c r="S17" s="2274"/>
      <c r="T17" s="2278" t="s">
        <v>167</v>
      </c>
      <c r="U17" s="2278" t="s">
        <v>167</v>
      </c>
      <c r="V17" s="1075"/>
    </row>
    <row r="18" spans="2:22" ht="21" customHeight="1" thickBot="1" x14ac:dyDescent="0.3">
      <c r="B18" s="1072"/>
      <c r="C18" s="110"/>
      <c r="D18" s="1074"/>
      <c r="E18" s="136"/>
      <c r="F18" s="136"/>
      <c r="G18" s="136"/>
      <c r="H18" s="136"/>
      <c r="I18" s="2262"/>
      <c r="J18" s="2262"/>
      <c r="K18" s="2273"/>
      <c r="L18" s="2279"/>
      <c r="M18" s="2279"/>
      <c r="N18" s="2279"/>
      <c r="O18" s="2279"/>
      <c r="P18" s="2279"/>
      <c r="Q18" s="2277"/>
      <c r="R18" s="1080"/>
      <c r="S18" s="2275"/>
      <c r="T18" s="2279"/>
      <c r="U18" s="2279"/>
      <c r="V18" s="896"/>
    </row>
    <row r="19" spans="2:22" ht="15.75" thickBot="1" x14ac:dyDescent="0.3">
      <c r="B19" s="1072"/>
      <c r="C19" s="143" t="s">
        <v>168</v>
      </c>
      <c r="D19" s="143"/>
      <c r="E19" s="143"/>
      <c r="F19" s="143"/>
      <c r="G19" s="143"/>
      <c r="H19" s="112"/>
      <c r="I19" s="112"/>
      <c r="J19" s="112"/>
      <c r="K19" s="112"/>
      <c r="L19" s="1074"/>
      <c r="M19" s="110"/>
      <c r="N19" s="110"/>
      <c r="O19" s="39"/>
      <c r="P19" s="1081"/>
      <c r="Q19" s="1081"/>
      <c r="R19" s="133"/>
      <c r="S19" s="133"/>
      <c r="T19" s="1081"/>
      <c r="U19" s="1081"/>
      <c r="V19" s="896"/>
    </row>
    <row r="20" spans="2:22" x14ac:dyDescent="0.25">
      <c r="B20" s="1072"/>
      <c r="C20" s="110"/>
      <c r="D20" s="259" t="s">
        <v>169</v>
      </c>
      <c r="E20" s="259"/>
      <c r="F20" s="259"/>
      <c r="G20" s="259"/>
      <c r="H20" s="259"/>
      <c r="I20" s="702">
        <f>IFERROR(J20/J$118," ")</f>
        <v>0.10191846237990042</v>
      </c>
      <c r="J20" s="96">
        <f t="shared" ref="J20:J25" si="0">K20+S20</f>
        <v>2360055</v>
      </c>
      <c r="K20" s="65">
        <f t="shared" ref="K20:K25" si="1">SUM(L20:Q20)</f>
        <v>2360055</v>
      </c>
      <c r="L20" s="66">
        <v>1097770</v>
      </c>
      <c r="M20" s="50"/>
      <c r="N20" s="50">
        <v>1262285</v>
      </c>
      <c r="O20" s="50"/>
      <c r="P20" s="50"/>
      <c r="Q20" s="50"/>
      <c r="R20" s="1082"/>
      <c r="S20" s="1083">
        <f t="shared" ref="S20:S25" si="2">SUM(T20:U20)</f>
        <v>0</v>
      </c>
      <c r="T20" s="67"/>
      <c r="U20" s="55"/>
      <c r="V20" s="896"/>
    </row>
    <row r="21" spans="2:22" x14ac:dyDescent="0.25">
      <c r="B21" s="1072"/>
      <c r="C21" s="110"/>
      <c r="D21" s="261" t="s">
        <v>170</v>
      </c>
      <c r="E21" s="261"/>
      <c r="F21" s="261"/>
      <c r="G21" s="261"/>
      <c r="H21" s="261"/>
      <c r="I21" s="703">
        <f t="shared" ref="I21:I26" si="3">IFERROR(J21/J$118," ")</f>
        <v>0</v>
      </c>
      <c r="J21" s="97">
        <f t="shared" si="0"/>
        <v>0</v>
      </c>
      <c r="K21" s="63">
        <f t="shared" si="1"/>
        <v>0</v>
      </c>
      <c r="L21" s="68">
        <v>0</v>
      </c>
      <c r="M21" s="53"/>
      <c r="N21" s="53"/>
      <c r="O21" s="53"/>
      <c r="P21" s="53"/>
      <c r="Q21" s="53"/>
      <c r="R21" s="1084"/>
      <c r="S21" s="72">
        <f t="shared" si="2"/>
        <v>0</v>
      </c>
      <c r="T21" s="69"/>
      <c r="U21" s="56"/>
      <c r="V21" s="896"/>
    </row>
    <row r="22" spans="2:22" x14ac:dyDescent="0.25">
      <c r="B22" s="1072"/>
      <c r="C22" s="110"/>
      <c r="D22" s="109" t="s">
        <v>171</v>
      </c>
      <c r="E22" s="109"/>
      <c r="F22" s="109"/>
      <c r="G22" s="109"/>
      <c r="H22" s="109"/>
      <c r="I22" s="703">
        <f t="shared" si="3"/>
        <v>6.4973232992051192E-3</v>
      </c>
      <c r="J22" s="97">
        <f t="shared" si="0"/>
        <v>150454</v>
      </c>
      <c r="K22" s="63">
        <f t="shared" si="1"/>
        <v>150454</v>
      </c>
      <c r="L22" s="68">
        <v>150454</v>
      </c>
      <c r="M22" s="53"/>
      <c r="N22" s="53"/>
      <c r="O22" s="53"/>
      <c r="P22" s="53"/>
      <c r="Q22" s="53"/>
      <c r="R22" s="1084"/>
      <c r="S22" s="72">
        <f t="shared" si="2"/>
        <v>0</v>
      </c>
      <c r="T22" s="69"/>
      <c r="U22" s="56"/>
      <c r="V22" s="896"/>
    </row>
    <row r="23" spans="2:22" x14ac:dyDescent="0.25">
      <c r="B23" s="1072"/>
      <c r="C23" s="110"/>
      <c r="D23" s="109" t="s">
        <v>172</v>
      </c>
      <c r="E23" s="109"/>
      <c r="F23" s="109"/>
      <c r="G23" s="109"/>
      <c r="H23" s="109"/>
      <c r="I23" s="703">
        <f t="shared" si="3"/>
        <v>1.0192040569512277E-3</v>
      </c>
      <c r="J23" s="97">
        <f t="shared" si="0"/>
        <v>23601</v>
      </c>
      <c r="K23" s="63">
        <f t="shared" si="1"/>
        <v>23601</v>
      </c>
      <c r="L23" s="68">
        <v>23601</v>
      </c>
      <c r="M23" s="53"/>
      <c r="N23" s="53"/>
      <c r="O23" s="53"/>
      <c r="P23" s="53"/>
      <c r="Q23" s="53"/>
      <c r="R23" s="1084"/>
      <c r="S23" s="72">
        <f t="shared" si="2"/>
        <v>0</v>
      </c>
      <c r="T23" s="69"/>
      <c r="U23" s="56"/>
      <c r="V23" s="896"/>
    </row>
    <row r="24" spans="2:22" x14ac:dyDescent="0.25">
      <c r="B24" s="1072"/>
      <c r="C24" s="110"/>
      <c r="D24" s="115" t="s">
        <v>173</v>
      </c>
      <c r="E24" s="115"/>
      <c r="F24" s="115"/>
      <c r="G24" s="115"/>
      <c r="H24" s="115"/>
      <c r="I24" s="703">
        <f t="shared" si="3"/>
        <v>0</v>
      </c>
      <c r="J24" s="97">
        <f t="shared" si="0"/>
        <v>0</v>
      </c>
      <c r="K24" s="63">
        <f t="shared" si="1"/>
        <v>0</v>
      </c>
      <c r="L24" s="68"/>
      <c r="M24" s="53"/>
      <c r="N24" s="53"/>
      <c r="O24" s="53"/>
      <c r="P24" s="53"/>
      <c r="Q24" s="53"/>
      <c r="R24" s="1084"/>
      <c r="S24" s="72">
        <f t="shared" si="2"/>
        <v>0</v>
      </c>
      <c r="T24" s="69"/>
      <c r="U24" s="56"/>
      <c r="V24" s="896"/>
    </row>
    <row r="25" spans="2:22" x14ac:dyDescent="0.25">
      <c r="B25" s="1072"/>
      <c r="C25" s="110"/>
      <c r="D25" s="115" t="s">
        <v>476</v>
      </c>
      <c r="E25" s="2280"/>
      <c r="F25" s="2281"/>
      <c r="G25" s="2282"/>
      <c r="H25" s="269"/>
      <c r="I25" s="703">
        <f t="shared" si="3"/>
        <v>0</v>
      </c>
      <c r="J25" s="98">
        <f t="shared" si="0"/>
        <v>0</v>
      </c>
      <c r="K25" s="64">
        <f t="shared" si="1"/>
        <v>0</v>
      </c>
      <c r="L25" s="70"/>
      <c r="M25" s="54"/>
      <c r="N25" s="54"/>
      <c r="O25" s="54"/>
      <c r="P25" s="54"/>
      <c r="Q25" s="54"/>
      <c r="R25" s="1084"/>
      <c r="S25" s="1085">
        <f t="shared" si="2"/>
        <v>0</v>
      </c>
      <c r="T25" s="71"/>
      <c r="U25" s="80"/>
      <c r="V25" s="896"/>
    </row>
    <row r="26" spans="2:22" ht="15.75" thickBot="1" x14ac:dyDescent="0.3">
      <c r="B26" s="1072"/>
      <c r="C26" s="110"/>
      <c r="D26" s="109"/>
      <c r="E26" s="109"/>
      <c r="F26" s="109"/>
      <c r="G26" s="113" t="s">
        <v>174</v>
      </c>
      <c r="H26" s="113"/>
      <c r="I26" s="704">
        <f t="shared" si="3"/>
        <v>0.10943498973605677</v>
      </c>
      <c r="J26" s="99">
        <f t="shared" ref="J26:Q26" si="4">SUM(J20:J25)</f>
        <v>2534110</v>
      </c>
      <c r="K26" s="60">
        <f t="shared" si="4"/>
        <v>2534110</v>
      </c>
      <c r="L26" s="1086">
        <f t="shared" si="4"/>
        <v>1271825</v>
      </c>
      <c r="M26" s="1087">
        <f t="shared" si="4"/>
        <v>0</v>
      </c>
      <c r="N26" s="1087">
        <f t="shared" si="4"/>
        <v>1262285</v>
      </c>
      <c r="O26" s="1087">
        <f t="shared" si="4"/>
        <v>0</v>
      </c>
      <c r="P26" s="1087">
        <f t="shared" si="4"/>
        <v>0</v>
      </c>
      <c r="Q26" s="1087">
        <f t="shared" si="4"/>
        <v>0</v>
      </c>
      <c r="R26" s="1088"/>
      <c r="S26" s="1089">
        <f>SUM(S20:S25)</f>
        <v>0</v>
      </c>
      <c r="T26" s="1086">
        <f>SUM(T20:T25)</f>
        <v>0</v>
      </c>
      <c r="U26" s="1090">
        <f>SUM(U20:U25)</f>
        <v>0</v>
      </c>
      <c r="V26" s="896"/>
    </row>
    <row r="27" spans="2:22" ht="3.75" customHeight="1" x14ac:dyDescent="0.25">
      <c r="B27" s="1072"/>
      <c r="C27" s="109"/>
      <c r="D27" s="109"/>
      <c r="E27" s="109"/>
      <c r="F27" s="109"/>
      <c r="G27" s="109"/>
      <c r="H27" s="109"/>
      <c r="I27" s="1074"/>
      <c r="J27" s="1091"/>
      <c r="K27" s="110"/>
      <c r="L27" s="40"/>
      <c r="M27" s="40"/>
      <c r="N27" s="40"/>
      <c r="O27" s="40"/>
      <c r="P27" s="110"/>
      <c r="Q27" s="40"/>
      <c r="R27" s="1084"/>
      <c r="S27" s="40"/>
      <c r="T27" s="40"/>
      <c r="U27" s="40"/>
      <c r="V27" s="896"/>
    </row>
    <row r="28" spans="2:22" ht="15.75" thickBot="1" x14ac:dyDescent="0.3">
      <c r="B28" s="1072"/>
      <c r="C28" s="143" t="s">
        <v>175</v>
      </c>
      <c r="D28" s="143"/>
      <c r="E28" s="143"/>
      <c r="F28" s="143"/>
      <c r="G28" s="143"/>
      <c r="H28" s="112"/>
      <c r="I28" s="112"/>
      <c r="J28" s="112"/>
      <c r="K28" s="112"/>
      <c r="L28" s="1074"/>
      <c r="M28" s="110"/>
      <c r="N28" s="110"/>
      <c r="O28" s="39"/>
      <c r="P28" s="1081"/>
      <c r="Q28" s="1081"/>
      <c r="R28" s="1078"/>
      <c r="S28" s="133"/>
      <c r="T28" s="1081"/>
      <c r="U28" s="1081"/>
      <c r="V28" s="896"/>
    </row>
    <row r="29" spans="2:22" x14ac:dyDescent="0.25">
      <c r="B29" s="1072"/>
      <c r="C29" s="110"/>
      <c r="D29" s="263" t="s">
        <v>176</v>
      </c>
      <c r="E29" s="263"/>
      <c r="F29" s="263"/>
      <c r="G29" s="263"/>
      <c r="H29" s="263"/>
      <c r="I29" s="702">
        <f t="shared" ref="I29:I45" si="5">IFERROR(J29/J$118," ")</f>
        <v>2.1570367120315611E-3</v>
      </c>
      <c r="J29" s="96">
        <f t="shared" ref="J29:J44" si="6">K29+S29</f>
        <v>49949</v>
      </c>
      <c r="K29" s="57">
        <f t="shared" ref="K29:K44" si="7">SUM(L29:Q29)</f>
        <v>49949</v>
      </c>
      <c r="L29" s="67">
        <v>49949</v>
      </c>
      <c r="M29" s="47"/>
      <c r="N29" s="47"/>
      <c r="O29" s="47"/>
      <c r="P29" s="47"/>
      <c r="Q29" s="47"/>
      <c r="R29" s="1082"/>
      <c r="S29" s="59">
        <f t="shared" ref="S29:S44" si="8">SUM(T29:U29)</f>
        <v>0</v>
      </c>
      <c r="T29" s="67"/>
      <c r="U29" s="55"/>
      <c r="V29" s="896"/>
    </row>
    <row r="30" spans="2:22" x14ac:dyDescent="0.25">
      <c r="B30" s="1072"/>
      <c r="C30" s="110"/>
      <c r="D30" s="109" t="s">
        <v>177</v>
      </c>
      <c r="E30" s="109"/>
      <c r="F30" s="109"/>
      <c r="G30" s="109"/>
      <c r="H30" s="109"/>
      <c r="I30" s="703">
        <f t="shared" si="5"/>
        <v>0.54539456964312738</v>
      </c>
      <c r="J30" s="97">
        <f t="shared" si="6"/>
        <v>12629323</v>
      </c>
      <c r="K30" s="45">
        <f t="shared" si="7"/>
        <v>12629323</v>
      </c>
      <c r="L30" s="69">
        <v>2009862</v>
      </c>
      <c r="M30" s="48">
        <v>7583566</v>
      </c>
      <c r="N30" s="48">
        <v>2960895</v>
      </c>
      <c r="O30" s="48"/>
      <c r="P30" s="48">
        <v>75000</v>
      </c>
      <c r="Q30" s="48"/>
      <c r="R30" s="1084"/>
      <c r="S30" s="72">
        <f t="shared" si="8"/>
        <v>0</v>
      </c>
      <c r="T30" s="69"/>
      <c r="U30" s="56"/>
      <c r="V30" s="896"/>
    </row>
    <row r="31" spans="2:22" x14ac:dyDescent="0.25">
      <c r="B31" s="1072"/>
      <c r="C31" s="110"/>
      <c r="D31" s="109" t="s">
        <v>178</v>
      </c>
      <c r="E31" s="109"/>
      <c r="F31" s="109"/>
      <c r="G31" s="109"/>
      <c r="H31" s="109"/>
      <c r="I31" s="703">
        <f t="shared" si="5"/>
        <v>0</v>
      </c>
      <c r="J31" s="97">
        <f t="shared" si="6"/>
        <v>0</v>
      </c>
      <c r="K31" s="45">
        <f t="shared" si="7"/>
        <v>0</v>
      </c>
      <c r="L31" s="69"/>
      <c r="M31" s="48"/>
      <c r="N31" s="48"/>
      <c r="O31" s="48"/>
      <c r="P31" s="48"/>
      <c r="Q31" s="48"/>
      <c r="R31" s="1084"/>
      <c r="S31" s="72">
        <f t="shared" si="8"/>
        <v>0</v>
      </c>
      <c r="T31" s="69"/>
      <c r="U31" s="56"/>
      <c r="V31" s="896"/>
    </row>
    <row r="32" spans="2:22" x14ac:dyDescent="0.25">
      <c r="B32" s="1072"/>
      <c r="C32" s="110"/>
      <c r="D32" s="109" t="s">
        <v>179</v>
      </c>
      <c r="E32" s="109"/>
      <c r="F32" s="109"/>
      <c r="G32" s="109"/>
      <c r="H32" s="109"/>
      <c r="I32" s="703">
        <f t="shared" si="5"/>
        <v>0</v>
      </c>
      <c r="J32" s="97">
        <f t="shared" si="6"/>
        <v>0</v>
      </c>
      <c r="K32" s="45">
        <f t="shared" si="7"/>
        <v>0</v>
      </c>
      <c r="L32" s="69"/>
      <c r="M32" s="48"/>
      <c r="N32" s="48"/>
      <c r="O32" s="48"/>
      <c r="P32" s="48"/>
      <c r="Q32" s="48"/>
      <c r="R32" s="1084"/>
      <c r="S32" s="72">
        <f t="shared" si="8"/>
        <v>0</v>
      </c>
      <c r="T32" s="69"/>
      <c r="U32" s="56"/>
      <c r="V32" s="896"/>
    </row>
    <row r="33" spans="2:22" x14ac:dyDescent="0.25">
      <c r="B33" s="1072"/>
      <c r="C33" s="110"/>
      <c r="D33" s="109" t="s">
        <v>180</v>
      </c>
      <c r="E33" s="109"/>
      <c r="F33" s="109"/>
      <c r="G33" s="109"/>
      <c r="H33" s="109"/>
      <c r="I33" s="703">
        <f t="shared" si="5"/>
        <v>0</v>
      </c>
      <c r="J33" s="97">
        <f t="shared" si="6"/>
        <v>0</v>
      </c>
      <c r="K33" s="45">
        <f t="shared" si="7"/>
        <v>0</v>
      </c>
      <c r="L33" s="69"/>
      <c r="M33" s="48"/>
      <c r="N33" s="48"/>
      <c r="O33" s="48"/>
      <c r="P33" s="48"/>
      <c r="Q33" s="48"/>
      <c r="R33" s="1084"/>
      <c r="S33" s="72">
        <f t="shared" si="8"/>
        <v>0</v>
      </c>
      <c r="T33" s="69"/>
      <c r="U33" s="56"/>
      <c r="V33" s="896"/>
    </row>
    <row r="34" spans="2:22" x14ac:dyDescent="0.25">
      <c r="B34" s="1072"/>
      <c r="C34" s="110"/>
      <c r="D34" s="109" t="s">
        <v>647</v>
      </c>
      <c r="E34" s="109"/>
      <c r="F34" s="109"/>
      <c r="G34" s="701">
        <f>IFERROR(J34/(J30+J32+J33+J42),"")</f>
        <v>5.5488543446184244E-2</v>
      </c>
      <c r="H34" s="118"/>
      <c r="I34" s="703">
        <f t="shared" si="5"/>
        <v>3.0466345990865121E-2</v>
      </c>
      <c r="J34" s="97">
        <f>K34+S34</f>
        <v>705488</v>
      </c>
      <c r="K34" s="45">
        <f t="shared" si="7"/>
        <v>705488</v>
      </c>
      <c r="L34" s="69"/>
      <c r="M34" s="48"/>
      <c r="N34" s="48">
        <v>705488</v>
      </c>
      <c r="O34" s="48"/>
      <c r="P34" s="48"/>
      <c r="Q34" s="48"/>
      <c r="R34" s="1084"/>
      <c r="S34" s="72">
        <f t="shared" si="8"/>
        <v>0</v>
      </c>
      <c r="T34" s="69"/>
      <c r="U34" s="56"/>
      <c r="V34" s="896"/>
    </row>
    <row r="35" spans="2:22" x14ac:dyDescent="0.25">
      <c r="B35" s="1072"/>
      <c r="C35" s="110"/>
      <c r="D35" s="109" t="s">
        <v>182</v>
      </c>
      <c r="E35" s="109"/>
      <c r="F35" s="109"/>
      <c r="G35" s="701">
        <f>IFERROR(J35/(J31+J32+J33+J42),"")</f>
        <v>0</v>
      </c>
      <c r="H35" s="118"/>
      <c r="I35" s="703">
        <f t="shared" si="5"/>
        <v>0</v>
      </c>
      <c r="J35" s="97">
        <f t="shared" si="6"/>
        <v>0</v>
      </c>
      <c r="K35" s="45">
        <f t="shared" si="7"/>
        <v>0</v>
      </c>
      <c r="L35" s="69"/>
      <c r="M35" s="48"/>
      <c r="N35" s="48"/>
      <c r="O35" s="48"/>
      <c r="P35" s="48"/>
      <c r="Q35" s="48"/>
      <c r="R35" s="1084"/>
      <c r="S35" s="72">
        <f t="shared" si="8"/>
        <v>0</v>
      </c>
      <c r="T35" s="69"/>
      <c r="U35" s="56"/>
      <c r="V35" s="896"/>
    </row>
    <row r="36" spans="2:22" x14ac:dyDescent="0.25">
      <c r="B36" s="1072"/>
      <c r="C36" s="110"/>
      <c r="D36" s="109" t="s">
        <v>183</v>
      </c>
      <c r="E36" s="109"/>
      <c r="F36" s="109"/>
      <c r="G36" s="109"/>
      <c r="H36" s="109"/>
      <c r="I36" s="703">
        <f t="shared" si="5"/>
        <v>0</v>
      </c>
      <c r="J36" s="97">
        <f t="shared" si="6"/>
        <v>0</v>
      </c>
      <c r="K36" s="45">
        <f t="shared" si="7"/>
        <v>0</v>
      </c>
      <c r="L36" s="69"/>
      <c r="M36" s="48"/>
      <c r="N36" s="48"/>
      <c r="O36" s="48"/>
      <c r="P36" s="48"/>
      <c r="Q36" s="48"/>
      <c r="R36" s="1084"/>
      <c r="S36" s="72">
        <f t="shared" si="8"/>
        <v>0</v>
      </c>
      <c r="T36" s="69"/>
      <c r="U36" s="56"/>
      <c r="V36" s="896"/>
    </row>
    <row r="37" spans="2:22" x14ac:dyDescent="0.25">
      <c r="B37" s="1072"/>
      <c r="C37" s="110"/>
      <c r="D37" s="109" t="s">
        <v>184</v>
      </c>
      <c r="E37" s="109"/>
      <c r="F37" s="109"/>
      <c r="G37" s="109"/>
      <c r="H37" s="109"/>
      <c r="I37" s="703">
        <f t="shared" si="5"/>
        <v>3.1849640950920278E-3</v>
      </c>
      <c r="J37" s="97">
        <f t="shared" si="6"/>
        <v>73752</v>
      </c>
      <c r="K37" s="45">
        <f t="shared" si="7"/>
        <v>73752</v>
      </c>
      <c r="L37" s="69"/>
      <c r="M37" s="48"/>
      <c r="N37" s="48">
        <v>73752</v>
      </c>
      <c r="O37" s="48"/>
      <c r="P37" s="48"/>
      <c r="Q37" s="48"/>
      <c r="R37" s="1084"/>
      <c r="S37" s="72">
        <f t="shared" si="8"/>
        <v>0</v>
      </c>
      <c r="T37" s="69"/>
      <c r="U37" s="56"/>
      <c r="V37" s="896"/>
    </row>
    <row r="38" spans="2:22" x14ac:dyDescent="0.25">
      <c r="B38" s="1072"/>
      <c r="C38" s="110"/>
      <c r="D38" s="109" t="s">
        <v>185</v>
      </c>
      <c r="E38" s="109"/>
      <c r="F38" s="109"/>
      <c r="G38" s="109"/>
      <c r="H38" s="109"/>
      <c r="I38" s="703">
        <f t="shared" si="5"/>
        <v>0</v>
      </c>
      <c r="J38" s="97">
        <f t="shared" si="6"/>
        <v>0</v>
      </c>
      <c r="K38" s="45">
        <f t="shared" si="7"/>
        <v>0</v>
      </c>
      <c r="L38" s="69"/>
      <c r="M38" s="48"/>
      <c r="N38" s="48"/>
      <c r="O38" s="48"/>
      <c r="P38" s="48"/>
      <c r="Q38" s="48"/>
      <c r="R38" s="1084"/>
      <c r="S38" s="72">
        <f t="shared" si="8"/>
        <v>0</v>
      </c>
      <c r="T38" s="69"/>
      <c r="U38" s="56"/>
      <c r="V38" s="896"/>
    </row>
    <row r="39" spans="2:22" x14ac:dyDescent="0.25">
      <c r="B39" s="1072"/>
      <c r="C39" s="110"/>
      <c r="D39" s="109" t="s">
        <v>186</v>
      </c>
      <c r="E39" s="109"/>
      <c r="F39" s="109"/>
      <c r="G39" s="109"/>
      <c r="H39" s="109"/>
      <c r="I39" s="703">
        <f t="shared" si="5"/>
        <v>0</v>
      </c>
      <c r="J39" s="97">
        <f t="shared" si="6"/>
        <v>0</v>
      </c>
      <c r="K39" s="45">
        <f t="shared" si="7"/>
        <v>0</v>
      </c>
      <c r="L39" s="69"/>
      <c r="M39" s="48"/>
      <c r="N39" s="48"/>
      <c r="O39" s="48"/>
      <c r="P39" s="48"/>
      <c r="Q39" s="48"/>
      <c r="R39" s="1084"/>
      <c r="S39" s="72">
        <f t="shared" si="8"/>
        <v>0</v>
      </c>
      <c r="T39" s="69"/>
      <c r="U39" s="56"/>
      <c r="V39" s="896"/>
    </row>
    <row r="40" spans="2:22" x14ac:dyDescent="0.25">
      <c r="B40" s="1072"/>
      <c r="C40" s="110"/>
      <c r="D40" s="109" t="s">
        <v>187</v>
      </c>
      <c r="E40" s="109"/>
      <c r="F40" s="109"/>
      <c r="G40" s="109"/>
      <c r="H40" s="109"/>
      <c r="I40" s="703">
        <f t="shared" si="5"/>
        <v>0</v>
      </c>
      <c r="J40" s="97">
        <f t="shared" si="6"/>
        <v>0</v>
      </c>
      <c r="K40" s="45">
        <f t="shared" si="7"/>
        <v>0</v>
      </c>
      <c r="L40" s="69"/>
      <c r="M40" s="48"/>
      <c r="N40" s="48"/>
      <c r="O40" s="48"/>
      <c r="P40" s="48"/>
      <c r="Q40" s="48"/>
      <c r="R40" s="1084"/>
      <c r="S40" s="72">
        <f t="shared" si="8"/>
        <v>0</v>
      </c>
      <c r="T40" s="69"/>
      <c r="U40" s="56"/>
      <c r="V40" s="896"/>
    </row>
    <row r="41" spans="2:22" x14ac:dyDescent="0.25">
      <c r="B41" s="1072"/>
      <c r="C41" s="110"/>
      <c r="D41" s="109" t="s">
        <v>188</v>
      </c>
      <c r="E41" s="109"/>
      <c r="F41" s="109"/>
      <c r="G41" s="109"/>
      <c r="H41" s="109"/>
      <c r="I41" s="703">
        <f t="shared" si="5"/>
        <v>5.3371727484156042E-2</v>
      </c>
      <c r="J41" s="97">
        <f t="shared" si="6"/>
        <v>1235892</v>
      </c>
      <c r="K41" s="45">
        <f t="shared" si="7"/>
        <v>1235892</v>
      </c>
      <c r="L41" s="69"/>
      <c r="M41" s="48"/>
      <c r="N41" s="48">
        <v>1235892</v>
      </c>
      <c r="O41" s="48"/>
      <c r="P41" s="48"/>
      <c r="Q41" s="48"/>
      <c r="R41" s="1084"/>
      <c r="S41" s="72">
        <f t="shared" si="8"/>
        <v>0</v>
      </c>
      <c r="T41" s="69"/>
      <c r="U41" s="56"/>
      <c r="V41" s="896"/>
    </row>
    <row r="42" spans="2:22" x14ac:dyDescent="0.25">
      <c r="B42" s="1072"/>
      <c r="C42" s="110"/>
      <c r="D42" s="109" t="s">
        <v>189</v>
      </c>
      <c r="E42" s="109"/>
      <c r="F42" s="109"/>
      <c r="G42" s="109"/>
      <c r="H42" s="109"/>
      <c r="I42" s="703">
        <f t="shared" si="5"/>
        <v>3.6619400202234339E-3</v>
      </c>
      <c r="J42" s="97">
        <f t="shared" si="6"/>
        <v>84797</v>
      </c>
      <c r="K42" s="45">
        <f t="shared" si="7"/>
        <v>84797</v>
      </c>
      <c r="L42" s="69">
        <v>84797</v>
      </c>
      <c r="M42" s="48"/>
      <c r="N42" s="48"/>
      <c r="O42" s="48"/>
      <c r="P42" s="48"/>
      <c r="Q42" s="48"/>
      <c r="R42" s="1084"/>
      <c r="S42" s="72">
        <f t="shared" si="8"/>
        <v>0</v>
      </c>
      <c r="T42" s="69"/>
      <c r="U42" s="56"/>
      <c r="V42" s="896"/>
    </row>
    <row r="43" spans="2:22" x14ac:dyDescent="0.25">
      <c r="B43" s="1072"/>
      <c r="C43" s="110"/>
      <c r="D43" s="109" t="s">
        <v>190</v>
      </c>
      <c r="E43" s="109"/>
      <c r="F43" s="109"/>
      <c r="G43" s="109"/>
      <c r="H43" s="109"/>
      <c r="I43" s="703">
        <f t="shared" si="5"/>
        <v>1.5569409713682731E-3</v>
      </c>
      <c r="J43" s="97">
        <f t="shared" si="6"/>
        <v>36053</v>
      </c>
      <c r="K43" s="45">
        <f t="shared" si="7"/>
        <v>36053</v>
      </c>
      <c r="L43" s="69"/>
      <c r="M43" s="48"/>
      <c r="N43" s="48">
        <v>36053</v>
      </c>
      <c r="O43" s="48"/>
      <c r="P43" s="48"/>
      <c r="Q43" s="48"/>
      <c r="R43" s="1084"/>
      <c r="S43" s="72">
        <f t="shared" si="8"/>
        <v>0</v>
      </c>
      <c r="T43" s="69"/>
      <c r="U43" s="56"/>
      <c r="V43" s="896"/>
    </row>
    <row r="44" spans="2:22" x14ac:dyDescent="0.25">
      <c r="B44" s="1072"/>
      <c r="C44" s="110"/>
      <c r="D44" s="114" t="s">
        <v>476</v>
      </c>
      <c r="E44" s="2280" t="s">
        <v>1409</v>
      </c>
      <c r="F44" s="2281"/>
      <c r="G44" s="2282"/>
      <c r="H44" s="114"/>
      <c r="I44" s="703">
        <f t="shared" si="5"/>
        <v>0</v>
      </c>
      <c r="J44" s="98">
        <f t="shared" si="6"/>
        <v>0</v>
      </c>
      <c r="K44" s="62">
        <f t="shared" si="7"/>
        <v>0</v>
      </c>
      <c r="L44" s="75"/>
      <c r="M44" s="51"/>
      <c r="N44" s="51"/>
      <c r="O44" s="51"/>
      <c r="P44" s="51"/>
      <c r="Q44" s="51"/>
      <c r="R44" s="1084"/>
      <c r="S44" s="73">
        <f t="shared" si="8"/>
        <v>0</v>
      </c>
      <c r="T44" s="75"/>
      <c r="U44" s="79"/>
      <c r="V44" s="896"/>
    </row>
    <row r="45" spans="2:22" ht="15.75" thickBot="1" x14ac:dyDescent="0.3">
      <c r="B45" s="1072"/>
      <c r="C45" s="110"/>
      <c r="D45" s="109"/>
      <c r="E45" s="109"/>
      <c r="F45" s="109"/>
      <c r="G45" s="113" t="s">
        <v>174</v>
      </c>
      <c r="H45" s="113"/>
      <c r="I45" s="704">
        <f t="shared" si="5"/>
        <v>0.63979352491686392</v>
      </c>
      <c r="J45" s="99">
        <f t="shared" ref="J45:Q45" si="9">SUM(J29:J44)</f>
        <v>14815254</v>
      </c>
      <c r="K45" s="60">
        <f t="shared" si="9"/>
        <v>14815254</v>
      </c>
      <c r="L45" s="1086">
        <f t="shared" si="9"/>
        <v>2144608</v>
      </c>
      <c r="M45" s="1087">
        <f t="shared" si="9"/>
        <v>7583566</v>
      </c>
      <c r="N45" s="1087">
        <f t="shared" si="9"/>
        <v>5012080</v>
      </c>
      <c r="O45" s="1087">
        <f t="shared" si="9"/>
        <v>0</v>
      </c>
      <c r="P45" s="1087">
        <f t="shared" si="9"/>
        <v>75000</v>
      </c>
      <c r="Q45" s="1087">
        <f t="shared" si="9"/>
        <v>0</v>
      </c>
      <c r="R45" s="1088"/>
      <c r="S45" s="1089">
        <f>SUM(S29:S44)</f>
        <v>0</v>
      </c>
      <c r="T45" s="1086">
        <f>SUM(T29:T44)</f>
        <v>0</v>
      </c>
      <c r="U45" s="1090">
        <f>SUM(U29:U44)</f>
        <v>0</v>
      </c>
      <c r="V45" s="896"/>
    </row>
    <row r="46" spans="2:22" ht="9" customHeight="1" thickBot="1" x14ac:dyDescent="0.3">
      <c r="B46" s="1092"/>
      <c r="C46" s="85"/>
      <c r="D46" s="85"/>
      <c r="E46" s="85"/>
      <c r="F46" s="85"/>
      <c r="G46" s="85"/>
      <c r="H46" s="85"/>
      <c r="I46" s="916"/>
      <c r="J46" s="1093"/>
      <c r="K46" s="1094"/>
      <c r="L46" s="1095"/>
      <c r="M46" s="86"/>
      <c r="N46" s="86"/>
      <c r="O46" s="86"/>
      <c r="P46" s="1094"/>
      <c r="Q46" s="86"/>
      <c r="R46" s="1096"/>
      <c r="S46" s="86"/>
      <c r="T46" s="1095"/>
      <c r="U46" s="86"/>
      <c r="V46" s="917"/>
    </row>
    <row r="47" spans="2:22" ht="15.75" thickBot="1" x14ac:dyDescent="0.3">
      <c r="B47" s="1072"/>
      <c r="C47" s="143" t="s">
        <v>191</v>
      </c>
      <c r="D47" s="143"/>
      <c r="E47" s="143"/>
      <c r="F47" s="143"/>
      <c r="G47" s="143"/>
      <c r="H47" s="112"/>
      <c r="I47" s="112"/>
      <c r="J47" s="112"/>
      <c r="K47" s="112"/>
      <c r="L47" s="1074"/>
      <c r="M47" s="110"/>
      <c r="N47" s="110"/>
      <c r="O47" s="39"/>
      <c r="P47" s="1081"/>
      <c r="Q47" s="1081"/>
      <c r="R47" s="1078"/>
      <c r="S47" s="133"/>
      <c r="T47" s="1081"/>
      <c r="U47" s="1081"/>
      <c r="V47" s="896"/>
    </row>
    <row r="48" spans="2:22" x14ac:dyDescent="0.25">
      <c r="B48" s="1072"/>
      <c r="C48" s="110"/>
      <c r="D48" s="263" t="s">
        <v>192</v>
      </c>
      <c r="E48" s="263"/>
      <c r="F48" s="263"/>
      <c r="G48" s="263"/>
      <c r="H48" s="263"/>
      <c r="I48" s="702">
        <f t="shared" ref="I48:I61" si="10">IFERROR(J48/J$118," ")</f>
        <v>3.0574826165055262E-4</v>
      </c>
      <c r="J48" s="96">
        <f t="shared" ref="J48:J60" si="11">K48+S48</f>
        <v>7080</v>
      </c>
      <c r="K48" s="57">
        <f t="shared" ref="K48:K60" si="12">SUM(L48:Q48)</f>
        <v>7080</v>
      </c>
      <c r="L48" s="67">
        <v>7080</v>
      </c>
      <c r="M48" s="47"/>
      <c r="N48" s="47"/>
      <c r="O48" s="47"/>
      <c r="P48" s="47"/>
      <c r="Q48" s="47"/>
      <c r="R48" s="1082"/>
      <c r="S48" s="59">
        <f t="shared" ref="S48:S60" si="13">SUM(T48:U48)</f>
        <v>0</v>
      </c>
      <c r="T48" s="67"/>
      <c r="U48" s="55"/>
      <c r="V48" s="896"/>
    </row>
    <row r="49" spans="2:22" x14ac:dyDescent="0.25">
      <c r="B49" s="1072"/>
      <c r="C49" s="110"/>
      <c r="D49" s="109" t="s">
        <v>193</v>
      </c>
      <c r="E49" s="109"/>
      <c r="F49" s="109"/>
      <c r="G49" s="109"/>
      <c r="H49" s="109"/>
      <c r="I49" s="703">
        <f t="shared" si="10"/>
        <v>1.556811417020116E-4</v>
      </c>
      <c r="J49" s="97">
        <f t="shared" si="11"/>
        <v>3605</v>
      </c>
      <c r="K49" s="45">
        <f t="shared" si="12"/>
        <v>3605</v>
      </c>
      <c r="L49" s="69">
        <v>3605</v>
      </c>
      <c r="M49" s="48"/>
      <c r="N49" s="48"/>
      <c r="O49" s="48"/>
      <c r="P49" s="48"/>
      <c r="Q49" s="48"/>
      <c r="R49" s="1084"/>
      <c r="S49" s="72">
        <f t="shared" si="13"/>
        <v>0</v>
      </c>
      <c r="T49" s="69"/>
      <c r="U49" s="56"/>
      <c r="V49" s="896"/>
    </row>
    <row r="50" spans="2:22" x14ac:dyDescent="0.25">
      <c r="B50" s="1072"/>
      <c r="C50" s="110"/>
      <c r="D50" s="109" t="s">
        <v>194</v>
      </c>
      <c r="E50" s="109"/>
      <c r="F50" s="109"/>
      <c r="G50" s="109"/>
      <c r="H50" s="109"/>
      <c r="I50" s="703">
        <f t="shared" si="10"/>
        <v>3.1976906505593185E-2</v>
      </c>
      <c r="J50" s="97">
        <f t="shared" si="11"/>
        <v>740467</v>
      </c>
      <c r="K50" s="45">
        <f t="shared" si="12"/>
        <v>740467</v>
      </c>
      <c r="L50" s="69">
        <v>740467</v>
      </c>
      <c r="M50" s="48"/>
      <c r="N50" s="48"/>
      <c r="O50" s="48"/>
      <c r="P50" s="48"/>
      <c r="Q50" s="48"/>
      <c r="R50" s="1084"/>
      <c r="S50" s="72">
        <f t="shared" si="13"/>
        <v>0</v>
      </c>
      <c r="T50" s="69"/>
      <c r="U50" s="56"/>
      <c r="V50" s="896"/>
    </row>
    <row r="51" spans="2:22" x14ac:dyDescent="0.25">
      <c r="B51" s="1072"/>
      <c r="C51" s="110"/>
      <c r="D51" s="109" t="s">
        <v>195</v>
      </c>
      <c r="E51" s="109"/>
      <c r="F51" s="109"/>
      <c r="G51" s="109"/>
      <c r="H51" s="109"/>
      <c r="I51" s="703">
        <f t="shared" si="10"/>
        <v>0</v>
      </c>
      <c r="J51" s="97">
        <f t="shared" si="11"/>
        <v>0</v>
      </c>
      <c r="K51" s="45">
        <f t="shared" si="12"/>
        <v>0</v>
      </c>
      <c r="L51" s="69"/>
      <c r="M51" s="48"/>
      <c r="N51" s="48"/>
      <c r="O51" s="48"/>
      <c r="P51" s="48"/>
      <c r="Q51" s="48"/>
      <c r="R51" s="1084"/>
      <c r="S51" s="72">
        <f t="shared" si="13"/>
        <v>0</v>
      </c>
      <c r="T51" s="69"/>
      <c r="U51" s="56"/>
      <c r="V51" s="896"/>
    </row>
    <row r="52" spans="2:22" x14ac:dyDescent="0.25">
      <c r="B52" s="1072"/>
      <c r="C52" s="110"/>
      <c r="D52" s="115" t="s">
        <v>196</v>
      </c>
      <c r="E52" s="115"/>
      <c r="F52" s="115"/>
      <c r="G52" s="115"/>
      <c r="H52" s="115"/>
      <c r="I52" s="703">
        <f t="shared" si="10"/>
        <v>2.0383217443370176E-4</v>
      </c>
      <c r="J52" s="97">
        <f t="shared" si="11"/>
        <v>4720</v>
      </c>
      <c r="K52" s="45">
        <f t="shared" si="12"/>
        <v>4720</v>
      </c>
      <c r="L52" s="69">
        <v>4720</v>
      </c>
      <c r="M52" s="48"/>
      <c r="N52" s="48"/>
      <c r="O52" s="48"/>
      <c r="P52" s="48"/>
      <c r="Q52" s="48"/>
      <c r="R52" s="1084"/>
      <c r="S52" s="72">
        <f t="shared" si="13"/>
        <v>0</v>
      </c>
      <c r="T52" s="69"/>
      <c r="U52" s="56"/>
      <c r="V52" s="896"/>
    </row>
    <row r="53" spans="2:22" x14ac:dyDescent="0.25">
      <c r="B53" s="1072"/>
      <c r="C53" s="110"/>
      <c r="D53" s="109" t="s">
        <v>197</v>
      </c>
      <c r="E53" s="109"/>
      <c r="F53" s="109"/>
      <c r="G53" s="109"/>
      <c r="H53" s="109"/>
      <c r="I53" s="703">
        <f t="shared" si="10"/>
        <v>6.7787153434021533E-4</v>
      </c>
      <c r="J53" s="97">
        <f t="shared" si="11"/>
        <v>15697</v>
      </c>
      <c r="K53" s="45">
        <f t="shared" si="12"/>
        <v>15697</v>
      </c>
      <c r="L53" s="69">
        <v>15697</v>
      </c>
      <c r="M53" s="48"/>
      <c r="N53" s="48"/>
      <c r="O53" s="48"/>
      <c r="P53" s="48"/>
      <c r="Q53" s="48"/>
      <c r="R53" s="1084"/>
      <c r="S53" s="72">
        <f t="shared" si="13"/>
        <v>0</v>
      </c>
      <c r="T53" s="69"/>
      <c r="U53" s="56"/>
      <c r="V53" s="896"/>
    </row>
    <row r="54" spans="2:22" x14ac:dyDescent="0.25">
      <c r="B54" s="1072"/>
      <c r="C54" s="110"/>
      <c r="D54" s="109" t="s">
        <v>198</v>
      </c>
      <c r="E54" s="109"/>
      <c r="F54" s="109"/>
      <c r="G54" s="109"/>
      <c r="H54" s="109"/>
      <c r="I54" s="703">
        <f t="shared" si="10"/>
        <v>9.6185466550038966E-4</v>
      </c>
      <c r="J54" s="97">
        <f t="shared" si="11"/>
        <v>22273</v>
      </c>
      <c r="K54" s="45">
        <f t="shared" si="12"/>
        <v>22273</v>
      </c>
      <c r="L54" s="69">
        <v>22273</v>
      </c>
      <c r="M54" s="48"/>
      <c r="N54" s="48"/>
      <c r="O54" s="48"/>
      <c r="P54" s="48"/>
      <c r="Q54" s="48"/>
      <c r="R54" s="1084"/>
      <c r="S54" s="72">
        <f t="shared" si="13"/>
        <v>0</v>
      </c>
      <c r="T54" s="69"/>
      <c r="U54" s="56"/>
      <c r="V54" s="896"/>
    </row>
    <row r="55" spans="2:22" x14ac:dyDescent="0.25">
      <c r="B55" s="1072"/>
      <c r="C55" s="110"/>
      <c r="D55" s="109" t="s">
        <v>199</v>
      </c>
      <c r="E55" s="109"/>
      <c r="F55" s="109"/>
      <c r="G55" s="109"/>
      <c r="H55" s="109"/>
      <c r="I55" s="703">
        <f t="shared" si="10"/>
        <v>4.5863102943237274E-3</v>
      </c>
      <c r="J55" s="97">
        <f t="shared" si="11"/>
        <v>106202</v>
      </c>
      <c r="K55" s="45">
        <f t="shared" si="12"/>
        <v>106202</v>
      </c>
      <c r="L55" s="69">
        <v>106202</v>
      </c>
      <c r="M55" s="48"/>
      <c r="N55" s="48"/>
      <c r="O55" s="48"/>
      <c r="P55" s="48"/>
      <c r="Q55" s="48"/>
      <c r="R55" s="1084"/>
      <c r="S55" s="72">
        <f t="shared" si="13"/>
        <v>0</v>
      </c>
      <c r="T55" s="69"/>
      <c r="U55" s="56"/>
      <c r="V55" s="896"/>
    </row>
    <row r="56" spans="2:22" x14ac:dyDescent="0.25">
      <c r="B56" s="1072"/>
      <c r="C56" s="110"/>
      <c r="D56" s="115" t="s">
        <v>200</v>
      </c>
      <c r="E56" s="115"/>
      <c r="F56" s="115"/>
      <c r="G56" s="115"/>
      <c r="H56" s="115"/>
      <c r="I56" s="703">
        <f t="shared" si="10"/>
        <v>9.2091074115667415E-2</v>
      </c>
      <c r="J56" s="97">
        <f t="shared" si="11"/>
        <v>2132489</v>
      </c>
      <c r="K56" s="45">
        <f t="shared" si="12"/>
        <v>2132489</v>
      </c>
      <c r="L56" s="69"/>
      <c r="M56" s="48"/>
      <c r="N56" s="48">
        <v>791022</v>
      </c>
      <c r="O56" s="48">
        <v>1341467</v>
      </c>
      <c r="P56" s="48"/>
      <c r="Q56" s="48"/>
      <c r="R56" s="1084"/>
      <c r="S56" s="72">
        <f t="shared" si="13"/>
        <v>0</v>
      </c>
      <c r="T56" s="69"/>
      <c r="U56" s="56"/>
      <c r="V56" s="896"/>
    </row>
    <row r="57" spans="2:22" x14ac:dyDescent="0.25">
      <c r="B57" s="1072"/>
      <c r="C57" s="110"/>
      <c r="D57" s="115" t="s">
        <v>201</v>
      </c>
      <c r="E57" s="115"/>
      <c r="F57" s="115"/>
      <c r="G57" s="115"/>
      <c r="H57" s="115"/>
      <c r="I57" s="703">
        <f t="shared" si="10"/>
        <v>6.1150947873592097E-3</v>
      </c>
      <c r="J57" s="97">
        <f t="shared" si="11"/>
        <v>141603</v>
      </c>
      <c r="K57" s="45">
        <f t="shared" si="12"/>
        <v>141603</v>
      </c>
      <c r="L57" s="69"/>
      <c r="M57" s="48"/>
      <c r="N57" s="48">
        <v>141603</v>
      </c>
      <c r="O57" s="48"/>
      <c r="P57" s="48"/>
      <c r="Q57" s="48"/>
      <c r="R57" s="1084"/>
      <c r="S57" s="72">
        <f t="shared" si="13"/>
        <v>0</v>
      </c>
      <c r="T57" s="69"/>
      <c r="U57" s="56"/>
      <c r="V57" s="896"/>
    </row>
    <row r="58" spans="2:22" x14ac:dyDescent="0.25">
      <c r="B58" s="1072"/>
      <c r="C58" s="110"/>
      <c r="D58" s="115" t="s">
        <v>202</v>
      </c>
      <c r="E58" s="115"/>
      <c r="F58" s="115"/>
      <c r="G58" s="115"/>
      <c r="H58" s="115"/>
      <c r="I58" s="703">
        <f t="shared" si="10"/>
        <v>1.8600117764902475E-3</v>
      </c>
      <c r="J58" s="97">
        <f t="shared" si="11"/>
        <v>43071</v>
      </c>
      <c r="K58" s="45">
        <f t="shared" si="12"/>
        <v>43071</v>
      </c>
      <c r="L58" s="74">
        <v>6978</v>
      </c>
      <c r="M58" s="46"/>
      <c r="N58" s="46">
        <v>36093</v>
      </c>
      <c r="O58" s="46"/>
      <c r="P58" s="46"/>
      <c r="Q58" s="46"/>
      <c r="R58" s="1084"/>
      <c r="S58" s="72">
        <f t="shared" si="13"/>
        <v>0</v>
      </c>
      <c r="T58" s="74"/>
      <c r="U58" s="49"/>
      <c r="V58" s="896"/>
    </row>
    <row r="59" spans="2:22" x14ac:dyDescent="0.25">
      <c r="B59" s="1072"/>
      <c r="C59" s="110"/>
      <c r="D59" s="148" t="s">
        <v>203</v>
      </c>
      <c r="E59" s="148"/>
      <c r="F59" s="148"/>
      <c r="G59" s="148"/>
      <c r="H59" s="148"/>
      <c r="I59" s="703">
        <f t="shared" si="10"/>
        <v>2.8686355616753191E-3</v>
      </c>
      <c r="J59" s="97">
        <f t="shared" si="11"/>
        <v>66427</v>
      </c>
      <c r="K59" s="45">
        <f t="shared" si="12"/>
        <v>66427</v>
      </c>
      <c r="L59" s="74">
        <v>66427</v>
      </c>
      <c r="M59" s="46"/>
      <c r="N59" s="46"/>
      <c r="O59" s="46"/>
      <c r="P59" s="46"/>
      <c r="Q59" s="46"/>
      <c r="R59" s="1084"/>
      <c r="S59" s="72">
        <f t="shared" si="13"/>
        <v>0</v>
      </c>
      <c r="T59" s="74"/>
      <c r="U59" s="49"/>
      <c r="V59" s="896"/>
    </row>
    <row r="60" spans="2:22" x14ac:dyDescent="0.25">
      <c r="B60" s="1072"/>
      <c r="C60" s="110"/>
      <c r="D60" s="114" t="s">
        <v>476</v>
      </c>
      <c r="E60" s="2280" t="s">
        <v>1410</v>
      </c>
      <c r="F60" s="2281"/>
      <c r="G60" s="2282"/>
      <c r="H60" s="114"/>
      <c r="I60" s="703">
        <f t="shared" si="10"/>
        <v>2.1657600381408001E-3</v>
      </c>
      <c r="J60" s="98">
        <f t="shared" si="11"/>
        <v>50151</v>
      </c>
      <c r="K60" s="62">
        <f t="shared" si="12"/>
        <v>50151</v>
      </c>
      <c r="L60" s="71">
        <v>50151</v>
      </c>
      <c r="M60" s="52"/>
      <c r="N60" s="52"/>
      <c r="O60" s="52"/>
      <c r="P60" s="52"/>
      <c r="Q60" s="52"/>
      <c r="R60" s="1084"/>
      <c r="S60" s="73">
        <f t="shared" si="13"/>
        <v>0</v>
      </c>
      <c r="T60" s="71"/>
      <c r="U60" s="80"/>
      <c r="V60" s="896"/>
    </row>
    <row r="61" spans="2:22" ht="15.75" thickBot="1" x14ac:dyDescent="0.3">
      <c r="B61" s="1072"/>
      <c r="C61" s="110"/>
      <c r="D61" s="109"/>
      <c r="E61" s="109"/>
      <c r="F61" s="109"/>
      <c r="G61" s="113" t="s">
        <v>174</v>
      </c>
      <c r="H61" s="113"/>
      <c r="I61" s="704">
        <f t="shared" si="10"/>
        <v>0.14396878085687678</v>
      </c>
      <c r="J61" s="99">
        <f t="shared" ref="J61:Q61" si="14">SUM(J48:J60)</f>
        <v>3333785</v>
      </c>
      <c r="K61" s="60">
        <f t="shared" si="14"/>
        <v>3333785</v>
      </c>
      <c r="L61" s="1086">
        <f t="shared" si="14"/>
        <v>1023600</v>
      </c>
      <c r="M61" s="1087">
        <f t="shared" si="14"/>
        <v>0</v>
      </c>
      <c r="N61" s="1087">
        <f t="shared" si="14"/>
        <v>968718</v>
      </c>
      <c r="O61" s="1087">
        <f t="shared" si="14"/>
        <v>1341467</v>
      </c>
      <c r="P61" s="1087">
        <f t="shared" si="14"/>
        <v>0</v>
      </c>
      <c r="Q61" s="1087">
        <f t="shared" si="14"/>
        <v>0</v>
      </c>
      <c r="R61" s="1088"/>
      <c r="S61" s="1089">
        <f>SUM(S48:S60)</f>
        <v>0</v>
      </c>
      <c r="T61" s="1086">
        <f>SUM(T48:T60)</f>
        <v>0</v>
      </c>
      <c r="U61" s="1090">
        <f>SUM(U48:U60)</f>
        <v>0</v>
      </c>
      <c r="V61" s="896"/>
    </row>
    <row r="62" spans="2:22" ht="3.75" customHeight="1" x14ac:dyDescent="0.25">
      <c r="B62" s="1072"/>
      <c r="C62" s="109"/>
      <c r="D62" s="109"/>
      <c r="E62" s="109"/>
      <c r="F62" s="109"/>
      <c r="G62" s="109"/>
      <c r="H62" s="109"/>
      <c r="I62" s="897"/>
      <c r="J62" s="1097"/>
      <c r="K62" s="1098"/>
      <c r="L62" s="1099"/>
      <c r="M62" s="761"/>
      <c r="N62" s="761"/>
      <c r="O62" s="761"/>
      <c r="P62" s="1098"/>
      <c r="Q62" s="761"/>
      <c r="R62" s="1100"/>
      <c r="S62" s="761"/>
      <c r="T62" s="1099"/>
      <c r="U62" s="761"/>
      <c r="V62" s="896"/>
    </row>
    <row r="63" spans="2:22" ht="15.75" thickBot="1" x14ac:dyDescent="0.3">
      <c r="B63" s="1072"/>
      <c r="C63" s="143" t="s">
        <v>204</v>
      </c>
      <c r="D63" s="143"/>
      <c r="E63" s="143"/>
      <c r="F63" s="143"/>
      <c r="G63" s="143"/>
      <c r="H63" s="112"/>
      <c r="I63" s="112"/>
      <c r="J63" s="112"/>
      <c r="K63" s="112"/>
      <c r="L63" s="1074"/>
      <c r="M63" s="110"/>
      <c r="N63" s="110"/>
      <c r="O63" s="39"/>
      <c r="P63" s="1081"/>
      <c r="Q63" s="1081"/>
      <c r="R63" s="1078"/>
      <c r="S63" s="133"/>
      <c r="T63" s="1081"/>
      <c r="U63" s="1081"/>
      <c r="V63" s="896"/>
    </row>
    <row r="64" spans="2:22" x14ac:dyDescent="0.25">
      <c r="B64" s="1072"/>
      <c r="C64" s="110"/>
      <c r="D64" s="263" t="s">
        <v>205</v>
      </c>
      <c r="E64" s="263"/>
      <c r="F64" s="263"/>
      <c r="G64" s="263"/>
      <c r="H64" s="263"/>
      <c r="I64" s="702">
        <f>IFERROR(J64/J$118," ")</f>
        <v>0</v>
      </c>
      <c r="J64" s="96">
        <f>K64+S64</f>
        <v>0</v>
      </c>
      <c r="K64" s="57">
        <f>SUM(L64:Q64)</f>
        <v>0</v>
      </c>
      <c r="L64" s="67"/>
      <c r="M64" s="47"/>
      <c r="N64" s="47"/>
      <c r="O64" s="47"/>
      <c r="P64" s="47"/>
      <c r="Q64" s="47"/>
      <c r="R64" s="1082"/>
      <c r="S64" s="59">
        <f>SUM(T64:U64)</f>
        <v>0</v>
      </c>
      <c r="T64" s="67"/>
      <c r="U64" s="55"/>
      <c r="V64" s="896"/>
    </row>
    <row r="65" spans="2:22" x14ac:dyDescent="0.25">
      <c r="B65" s="1072"/>
      <c r="C65" s="110"/>
      <c r="D65" s="109" t="s">
        <v>206</v>
      </c>
      <c r="E65" s="109"/>
      <c r="F65" s="109"/>
      <c r="G65" s="109"/>
      <c r="H65" s="109"/>
      <c r="I65" s="703">
        <f>IFERROR(J65/J$118," ")</f>
        <v>2.547945365203991E-3</v>
      </c>
      <c r="J65" s="98">
        <f>K65+S65</f>
        <v>59001</v>
      </c>
      <c r="K65" s="62">
        <f>SUM(L65:Q65)</f>
        <v>59001</v>
      </c>
      <c r="L65" s="75">
        <v>59001</v>
      </c>
      <c r="M65" s="51"/>
      <c r="N65" s="51"/>
      <c r="O65" s="51"/>
      <c r="P65" s="51"/>
      <c r="Q65" s="51"/>
      <c r="R65" s="1084"/>
      <c r="S65" s="73">
        <f>SUM(T65:U65)</f>
        <v>0</v>
      </c>
      <c r="T65" s="75"/>
      <c r="U65" s="79"/>
      <c r="V65" s="896"/>
    </row>
    <row r="66" spans="2:22" ht="15.75" thickBot="1" x14ac:dyDescent="0.3">
      <c r="B66" s="1072"/>
      <c r="C66" s="110"/>
      <c r="D66" s="109"/>
      <c r="E66" s="109"/>
      <c r="F66" s="109"/>
      <c r="G66" s="113" t="s">
        <v>174</v>
      </c>
      <c r="H66" s="113"/>
      <c r="I66" s="704">
        <f>IFERROR(J66/J$118," ")</f>
        <v>2.547945365203991E-3</v>
      </c>
      <c r="J66" s="99">
        <f t="shared" ref="J66:Q66" si="15">SUM(J64:J65)</f>
        <v>59001</v>
      </c>
      <c r="K66" s="60">
        <f t="shared" si="15"/>
        <v>59001</v>
      </c>
      <c r="L66" s="1086">
        <f t="shared" si="15"/>
        <v>59001</v>
      </c>
      <c r="M66" s="1087">
        <f t="shared" si="15"/>
        <v>0</v>
      </c>
      <c r="N66" s="1087">
        <f t="shared" si="15"/>
        <v>0</v>
      </c>
      <c r="O66" s="1087">
        <f t="shared" si="15"/>
        <v>0</v>
      </c>
      <c r="P66" s="1087">
        <f t="shared" si="15"/>
        <v>0</v>
      </c>
      <c r="Q66" s="1087">
        <f t="shared" si="15"/>
        <v>0</v>
      </c>
      <c r="R66" s="1088"/>
      <c r="S66" s="1089">
        <f>SUM(S64:S65)</f>
        <v>0</v>
      </c>
      <c r="T66" s="1086">
        <f>SUM(T64:T65)</f>
        <v>0</v>
      </c>
      <c r="U66" s="1090">
        <f>SUM(U64:U65)</f>
        <v>0</v>
      </c>
      <c r="V66" s="896"/>
    </row>
    <row r="67" spans="2:22" ht="3.75" customHeight="1" x14ac:dyDescent="0.25">
      <c r="B67" s="1072"/>
      <c r="C67" s="109"/>
      <c r="D67" s="113"/>
      <c r="E67" s="113"/>
      <c r="F67" s="113"/>
      <c r="G67" s="113"/>
      <c r="H67" s="113"/>
      <c r="I67" s="1074"/>
      <c r="J67" s="1074"/>
      <c r="K67" s="110"/>
      <c r="L67" s="40"/>
      <c r="M67" s="40"/>
      <c r="N67" s="40"/>
      <c r="O67" s="40"/>
      <c r="P67" s="110"/>
      <c r="Q67" s="40"/>
      <c r="R67" s="1084"/>
      <c r="S67" s="40"/>
      <c r="T67" s="40"/>
      <c r="U67" s="40"/>
      <c r="V67" s="896"/>
    </row>
    <row r="68" spans="2:22" ht="15.75" thickBot="1" x14ac:dyDescent="0.3">
      <c r="B68" s="1072"/>
      <c r="C68" s="143" t="s">
        <v>207</v>
      </c>
      <c r="D68" s="143"/>
      <c r="E68" s="143"/>
      <c r="F68" s="143"/>
      <c r="G68" s="143"/>
      <c r="H68" s="112"/>
      <c r="I68" s="112"/>
      <c r="J68" s="112"/>
      <c r="K68" s="112"/>
      <c r="L68" s="1074"/>
      <c r="M68" s="110"/>
      <c r="N68" s="110"/>
      <c r="O68" s="39"/>
      <c r="P68" s="1081"/>
      <c r="Q68" s="1081"/>
      <c r="R68" s="1078"/>
      <c r="S68" s="133"/>
      <c r="T68" s="1081"/>
      <c r="U68" s="1081"/>
      <c r="V68" s="896"/>
    </row>
    <row r="69" spans="2:22" x14ac:dyDescent="0.25">
      <c r="B69" s="1072"/>
      <c r="C69" s="110"/>
      <c r="D69" s="263" t="s">
        <v>208</v>
      </c>
      <c r="E69" s="263"/>
      <c r="F69" s="263"/>
      <c r="G69" s="263"/>
      <c r="H69" s="263"/>
      <c r="I69" s="702">
        <f t="shared" ref="I69:I74" si="16">IFERROR(J69/J$118," ")</f>
        <v>1.8137608741981936E-3</v>
      </c>
      <c r="J69" s="96">
        <f>K69+S69</f>
        <v>42000</v>
      </c>
      <c r="K69" s="57">
        <f>SUM(L69:Q69)</f>
        <v>42000</v>
      </c>
      <c r="L69" s="67">
        <v>42000</v>
      </c>
      <c r="M69" s="47"/>
      <c r="N69" s="47"/>
      <c r="O69" s="47"/>
      <c r="P69" s="47"/>
      <c r="Q69" s="47"/>
      <c r="R69" s="1082"/>
      <c r="S69" s="59">
        <f>SUM(T69:U69)</f>
        <v>0</v>
      </c>
      <c r="T69" s="67"/>
      <c r="U69" s="55"/>
      <c r="V69" s="896"/>
    </row>
    <row r="70" spans="2:22" x14ac:dyDescent="0.25">
      <c r="B70" s="1072"/>
      <c r="C70" s="110"/>
      <c r="D70" s="109" t="s">
        <v>209</v>
      </c>
      <c r="E70" s="109"/>
      <c r="F70" s="109"/>
      <c r="G70" s="109"/>
      <c r="H70" s="109"/>
      <c r="I70" s="703">
        <f t="shared" si="16"/>
        <v>0</v>
      </c>
      <c r="J70" s="97">
        <f>K70+S70</f>
        <v>0</v>
      </c>
      <c r="K70" s="45">
        <f>SUM(L70:Q70)</f>
        <v>0</v>
      </c>
      <c r="L70" s="69"/>
      <c r="M70" s="48"/>
      <c r="N70" s="48"/>
      <c r="O70" s="48"/>
      <c r="P70" s="48"/>
      <c r="Q70" s="48"/>
      <c r="R70" s="1084"/>
      <c r="S70" s="72">
        <f>SUM(T70:U70)</f>
        <v>0</v>
      </c>
      <c r="T70" s="69"/>
      <c r="U70" s="56"/>
      <c r="V70" s="896"/>
    </row>
    <row r="71" spans="2:22" x14ac:dyDescent="0.25">
      <c r="B71" s="1072"/>
      <c r="C71" s="110"/>
      <c r="D71" s="109" t="s">
        <v>210</v>
      </c>
      <c r="E71" s="109"/>
      <c r="F71" s="109"/>
      <c r="G71" s="109"/>
      <c r="H71" s="109"/>
      <c r="I71" s="703">
        <f t="shared" si="16"/>
        <v>8.6369565438009215E-4</v>
      </c>
      <c r="J71" s="97">
        <f>K71+S71</f>
        <v>20000</v>
      </c>
      <c r="K71" s="45">
        <f>SUM(L71:Q71)</f>
        <v>20000</v>
      </c>
      <c r="L71" s="69">
        <v>20000</v>
      </c>
      <c r="M71" s="48"/>
      <c r="N71" s="48"/>
      <c r="O71" s="48"/>
      <c r="P71" s="48"/>
      <c r="Q71" s="48"/>
      <c r="R71" s="1084"/>
      <c r="S71" s="72">
        <f>SUM(T71:U71)</f>
        <v>0</v>
      </c>
      <c r="T71" s="69"/>
      <c r="U71" s="56"/>
      <c r="V71" s="896"/>
    </row>
    <row r="72" spans="2:22" x14ac:dyDescent="0.25">
      <c r="B72" s="1072"/>
      <c r="C72" s="110"/>
      <c r="D72" s="109" t="s">
        <v>211</v>
      </c>
      <c r="E72" s="109"/>
      <c r="F72" s="109"/>
      <c r="G72" s="109"/>
      <c r="H72" s="109"/>
      <c r="I72" s="703">
        <f t="shared" si="16"/>
        <v>2.0944619618717235E-2</v>
      </c>
      <c r="J72" s="97">
        <f>K72+S72</f>
        <v>485000</v>
      </c>
      <c r="K72" s="45">
        <f>SUM(L72:Q72)</f>
        <v>485000</v>
      </c>
      <c r="L72" s="69"/>
      <c r="M72" s="48"/>
      <c r="N72" s="48">
        <v>485000</v>
      </c>
      <c r="O72" s="48"/>
      <c r="P72" s="48"/>
      <c r="Q72" s="48"/>
      <c r="R72" s="1084"/>
      <c r="S72" s="72">
        <f>SUM(T72:U72)</f>
        <v>0</v>
      </c>
      <c r="T72" s="69"/>
      <c r="U72" s="56"/>
      <c r="V72" s="896"/>
    </row>
    <row r="73" spans="2:22" x14ac:dyDescent="0.25">
      <c r="B73" s="1072"/>
      <c r="C73" s="110"/>
      <c r="D73" s="109" t="s">
        <v>212</v>
      </c>
      <c r="E73" s="109"/>
      <c r="F73" s="109"/>
      <c r="G73" s="109"/>
      <c r="H73" s="109"/>
      <c r="I73" s="703">
        <f t="shared" si="16"/>
        <v>3.1849640950920278E-3</v>
      </c>
      <c r="J73" s="98">
        <f>K73+S73</f>
        <v>73752</v>
      </c>
      <c r="K73" s="45">
        <f>SUM(L73:Q73)</f>
        <v>73752</v>
      </c>
      <c r="L73" s="75"/>
      <c r="M73" s="51"/>
      <c r="N73" s="51">
        <v>73752</v>
      </c>
      <c r="O73" s="51"/>
      <c r="P73" s="51"/>
      <c r="Q73" s="51"/>
      <c r="R73" s="1084"/>
      <c r="S73" s="73">
        <f>SUM(T73:U73)</f>
        <v>0</v>
      </c>
      <c r="T73" s="75"/>
      <c r="U73" s="79"/>
      <c r="V73" s="896"/>
    </row>
    <row r="74" spans="2:22" ht="15.75" thickBot="1" x14ac:dyDescent="0.3">
      <c r="B74" s="1072"/>
      <c r="C74" s="110"/>
      <c r="D74" s="109"/>
      <c r="E74" s="109"/>
      <c r="F74" s="109"/>
      <c r="G74" s="113" t="s">
        <v>174</v>
      </c>
      <c r="H74" s="113"/>
      <c r="I74" s="704">
        <f t="shared" si="16"/>
        <v>2.6807040242387548E-2</v>
      </c>
      <c r="J74" s="99">
        <f t="shared" ref="J74:Q74" si="17">SUM(J69:J73)</f>
        <v>620752</v>
      </c>
      <c r="K74" s="60">
        <f t="shared" si="17"/>
        <v>620752</v>
      </c>
      <c r="L74" s="1086">
        <f t="shared" si="17"/>
        <v>62000</v>
      </c>
      <c r="M74" s="1087">
        <f t="shared" si="17"/>
        <v>0</v>
      </c>
      <c r="N74" s="1087">
        <f t="shared" si="17"/>
        <v>558752</v>
      </c>
      <c r="O74" s="1087">
        <f t="shared" si="17"/>
        <v>0</v>
      </c>
      <c r="P74" s="1087">
        <f t="shared" si="17"/>
        <v>0</v>
      </c>
      <c r="Q74" s="1087">
        <f t="shared" si="17"/>
        <v>0</v>
      </c>
      <c r="R74" s="1088"/>
      <c r="S74" s="1089">
        <f>SUM(S69:S73)</f>
        <v>0</v>
      </c>
      <c r="T74" s="1086">
        <f>SUM(T69:T73)</f>
        <v>0</v>
      </c>
      <c r="U74" s="1090">
        <f>SUM(U69:U73)</f>
        <v>0</v>
      </c>
      <c r="V74" s="896"/>
    </row>
    <row r="75" spans="2:22" ht="9" customHeight="1" thickBot="1" x14ac:dyDescent="0.3">
      <c r="B75" s="1092"/>
      <c r="C75" s="85"/>
      <c r="D75" s="88"/>
      <c r="E75" s="88"/>
      <c r="F75" s="88"/>
      <c r="G75" s="88"/>
      <c r="H75" s="88"/>
      <c r="I75" s="916"/>
      <c r="J75" s="1093"/>
      <c r="K75" s="1094"/>
      <c r="L75" s="86"/>
      <c r="M75" s="86"/>
      <c r="N75" s="86"/>
      <c r="O75" s="86"/>
      <c r="P75" s="1094"/>
      <c r="Q75" s="86"/>
      <c r="R75" s="1096"/>
      <c r="S75" s="86"/>
      <c r="T75" s="86"/>
      <c r="U75" s="86"/>
      <c r="V75" s="917"/>
    </row>
    <row r="76" spans="2:22" ht="15.75" thickBot="1" x14ac:dyDescent="0.3">
      <c r="B76" s="1072"/>
      <c r="C76" s="143" t="s">
        <v>213</v>
      </c>
      <c r="D76" s="143"/>
      <c r="E76" s="143"/>
      <c r="F76" s="143"/>
      <c r="G76" s="143"/>
      <c r="H76" s="112"/>
      <c r="I76" s="112"/>
      <c r="J76" s="112"/>
      <c r="K76" s="112"/>
      <c r="L76" s="40"/>
      <c r="M76" s="40"/>
      <c r="N76" s="40"/>
      <c r="O76" s="40"/>
      <c r="P76" s="110"/>
      <c r="Q76" s="40"/>
      <c r="R76" s="1084"/>
      <c r="S76" s="40"/>
      <c r="T76" s="40"/>
      <c r="U76" s="40"/>
      <c r="V76" s="896"/>
    </row>
    <row r="77" spans="2:22" x14ac:dyDescent="0.25">
      <c r="B77" s="1072"/>
      <c r="C77" s="110"/>
      <c r="D77" s="263" t="s">
        <v>214</v>
      </c>
      <c r="E77" s="263"/>
      <c r="F77" s="263"/>
      <c r="G77" s="263"/>
      <c r="H77" s="263"/>
      <c r="I77" s="702">
        <f t="shared" ref="I77:I85" si="18">IFERROR(J77/J$118," ")</f>
        <v>2.9365652248923135E-3</v>
      </c>
      <c r="J77" s="96">
        <f t="shared" ref="J77:J84" si="19">K77+S77</f>
        <v>68000</v>
      </c>
      <c r="K77" s="57">
        <f t="shared" ref="K77:K84" si="20">SUM(L77:Q77)</f>
        <v>68000</v>
      </c>
      <c r="L77" s="67">
        <v>68000</v>
      </c>
      <c r="M77" s="47"/>
      <c r="N77" s="47"/>
      <c r="O77" s="47"/>
      <c r="P77" s="47"/>
      <c r="Q77" s="47"/>
      <c r="R77" s="1082"/>
      <c r="S77" s="59">
        <f t="shared" ref="S77:S84" si="21">SUM(T77:U77)</f>
        <v>0</v>
      </c>
      <c r="T77" s="67"/>
      <c r="U77" s="55"/>
      <c r="V77" s="896"/>
    </row>
    <row r="78" spans="2:22" x14ac:dyDescent="0.25">
      <c r="B78" s="1072"/>
      <c r="C78" s="110"/>
      <c r="D78" s="109" t="s">
        <v>215</v>
      </c>
      <c r="E78" s="109"/>
      <c r="F78" s="109"/>
      <c r="G78" s="109"/>
      <c r="H78" s="109"/>
      <c r="I78" s="703">
        <f t="shared" si="18"/>
        <v>0</v>
      </c>
      <c r="J78" s="97">
        <f t="shared" si="19"/>
        <v>0</v>
      </c>
      <c r="K78" s="45">
        <f t="shared" si="20"/>
        <v>0</v>
      </c>
      <c r="L78" s="69"/>
      <c r="M78" s="48"/>
      <c r="N78" s="48"/>
      <c r="O78" s="48"/>
      <c r="P78" s="48"/>
      <c r="Q78" s="48"/>
      <c r="R78" s="1084"/>
      <c r="S78" s="72">
        <f t="shared" si="21"/>
        <v>0</v>
      </c>
      <c r="T78" s="69"/>
      <c r="U78" s="56"/>
      <c r="V78" s="896"/>
    </row>
    <row r="79" spans="2:22" x14ac:dyDescent="0.25">
      <c r="B79" s="1072"/>
      <c r="C79" s="110"/>
      <c r="D79" s="109" t="s">
        <v>216</v>
      </c>
      <c r="E79" s="109"/>
      <c r="F79" s="109"/>
      <c r="G79" s="109"/>
      <c r="H79" s="109"/>
      <c r="I79" s="703">
        <f t="shared" si="18"/>
        <v>8.6369565438009215E-4</v>
      </c>
      <c r="J79" s="97">
        <f t="shared" si="19"/>
        <v>20000</v>
      </c>
      <c r="K79" s="45">
        <f t="shared" si="20"/>
        <v>20000</v>
      </c>
      <c r="L79" s="69">
        <v>20000</v>
      </c>
      <c r="M79" s="48"/>
      <c r="N79" s="48"/>
      <c r="O79" s="48"/>
      <c r="P79" s="48"/>
      <c r="Q79" s="48"/>
      <c r="R79" s="1084"/>
      <c r="S79" s="72">
        <f t="shared" si="21"/>
        <v>0</v>
      </c>
      <c r="T79" s="69"/>
      <c r="U79" s="56"/>
      <c r="V79" s="896"/>
    </row>
    <row r="80" spans="2:22" x14ac:dyDescent="0.25">
      <c r="B80" s="1072"/>
      <c r="C80" s="110"/>
      <c r="D80" s="114" t="s">
        <v>217</v>
      </c>
      <c r="E80" s="114"/>
      <c r="F80" s="114"/>
      <c r="G80" s="114"/>
      <c r="H80" s="114"/>
      <c r="I80" s="703">
        <f t="shared" si="18"/>
        <v>1.9408968745229431E-3</v>
      </c>
      <c r="J80" s="97">
        <f t="shared" si="19"/>
        <v>44944</v>
      </c>
      <c r="K80" s="45">
        <f t="shared" si="20"/>
        <v>44944</v>
      </c>
      <c r="L80" s="69">
        <v>44944</v>
      </c>
      <c r="M80" s="48"/>
      <c r="N80" s="48"/>
      <c r="O80" s="48"/>
      <c r="P80" s="48"/>
      <c r="Q80" s="48"/>
      <c r="R80" s="1084"/>
      <c r="S80" s="72">
        <f t="shared" si="21"/>
        <v>0</v>
      </c>
      <c r="T80" s="69"/>
      <c r="U80" s="56"/>
      <c r="V80" s="896"/>
    </row>
    <row r="81" spans="2:22" x14ac:dyDescent="0.25">
      <c r="B81" s="1072"/>
      <c r="C81" s="110"/>
      <c r="D81" s="114" t="s">
        <v>218</v>
      </c>
      <c r="E81" s="114"/>
      <c r="F81" s="114"/>
      <c r="G81" s="114"/>
      <c r="H81" s="114"/>
      <c r="I81" s="703">
        <f t="shared" si="18"/>
        <v>1.5569409713682731E-3</v>
      </c>
      <c r="J81" s="97">
        <f t="shared" si="19"/>
        <v>36053</v>
      </c>
      <c r="K81" s="45">
        <f t="shared" si="20"/>
        <v>36053</v>
      </c>
      <c r="L81" s="69">
        <v>36053</v>
      </c>
      <c r="M81" s="48"/>
      <c r="N81" s="48"/>
      <c r="O81" s="48"/>
      <c r="P81" s="48"/>
      <c r="Q81" s="48"/>
      <c r="R81" s="1084"/>
      <c r="S81" s="72">
        <f t="shared" si="21"/>
        <v>0</v>
      </c>
      <c r="T81" s="69"/>
      <c r="U81" s="56"/>
      <c r="V81" s="896"/>
    </row>
    <row r="82" spans="2:22" x14ac:dyDescent="0.25">
      <c r="B82" s="1072"/>
      <c r="C82" s="110"/>
      <c r="D82" s="114" t="s">
        <v>219</v>
      </c>
      <c r="E82" s="114"/>
      <c r="F82" s="114"/>
      <c r="G82" s="114"/>
      <c r="H82" s="114"/>
      <c r="I82" s="703">
        <f t="shared" si="18"/>
        <v>0</v>
      </c>
      <c r="J82" s="97">
        <f t="shared" si="19"/>
        <v>0</v>
      </c>
      <c r="K82" s="45">
        <f t="shared" si="20"/>
        <v>0</v>
      </c>
      <c r="L82" s="69"/>
      <c r="M82" s="48"/>
      <c r="N82" s="48"/>
      <c r="O82" s="48"/>
      <c r="P82" s="48"/>
      <c r="Q82" s="48"/>
      <c r="R82" s="1084"/>
      <c r="S82" s="72">
        <f t="shared" si="21"/>
        <v>0</v>
      </c>
      <c r="T82" s="69"/>
      <c r="U82" s="56"/>
      <c r="V82" s="896"/>
    </row>
    <row r="83" spans="2:22" x14ac:dyDescent="0.25">
      <c r="B83" s="1072"/>
      <c r="C83" s="110"/>
      <c r="D83" s="115" t="s">
        <v>220</v>
      </c>
      <c r="E83" s="115"/>
      <c r="F83" s="115"/>
      <c r="G83" s="115"/>
      <c r="H83" s="115"/>
      <c r="I83" s="703">
        <f t="shared" si="18"/>
        <v>0</v>
      </c>
      <c r="J83" s="97">
        <f t="shared" si="19"/>
        <v>0</v>
      </c>
      <c r="K83" s="45">
        <f t="shared" si="20"/>
        <v>0</v>
      </c>
      <c r="L83" s="69"/>
      <c r="M83" s="48"/>
      <c r="N83" s="48"/>
      <c r="O83" s="48"/>
      <c r="P83" s="48"/>
      <c r="Q83" s="48"/>
      <c r="R83" s="1084"/>
      <c r="S83" s="72">
        <f t="shared" si="21"/>
        <v>0</v>
      </c>
      <c r="T83" s="69"/>
      <c r="U83" s="56"/>
      <c r="V83" s="896"/>
    </row>
    <row r="84" spans="2:22" x14ac:dyDescent="0.25">
      <c r="B84" s="1072"/>
      <c r="C84" s="110"/>
      <c r="D84" s="114" t="s">
        <v>476</v>
      </c>
      <c r="E84" s="2280" t="s">
        <v>1555</v>
      </c>
      <c r="F84" s="2281"/>
      <c r="G84" s="2282"/>
      <c r="H84" s="114"/>
      <c r="I84" s="703">
        <f t="shared" si="18"/>
        <v>1.4352462536661181E-3</v>
      </c>
      <c r="J84" s="98">
        <f t="shared" si="19"/>
        <v>33235</v>
      </c>
      <c r="K84" s="45">
        <f t="shared" si="20"/>
        <v>33235</v>
      </c>
      <c r="L84" s="75">
        <v>33235</v>
      </c>
      <c r="M84" s="51"/>
      <c r="N84" s="51"/>
      <c r="O84" s="51"/>
      <c r="P84" s="51"/>
      <c r="Q84" s="51"/>
      <c r="R84" s="1084"/>
      <c r="S84" s="73">
        <f t="shared" si="21"/>
        <v>0</v>
      </c>
      <c r="T84" s="75"/>
      <c r="U84" s="79"/>
      <c r="V84" s="896"/>
    </row>
    <row r="85" spans="2:22" ht="15.75" thickBot="1" x14ac:dyDescent="0.3">
      <c r="B85" s="1072"/>
      <c r="C85" s="110"/>
      <c r="D85" s="109"/>
      <c r="E85" s="109"/>
      <c r="F85" s="109"/>
      <c r="G85" s="113" t="s">
        <v>174</v>
      </c>
      <c r="H85" s="113"/>
      <c r="I85" s="704">
        <f t="shared" si="18"/>
        <v>8.73334497882974E-3</v>
      </c>
      <c r="J85" s="99">
        <f t="shared" ref="J85:Q85" si="22">SUM(J77:J84)</f>
        <v>202232</v>
      </c>
      <c r="K85" s="60">
        <f t="shared" si="22"/>
        <v>202232</v>
      </c>
      <c r="L85" s="1086">
        <f t="shared" si="22"/>
        <v>202232</v>
      </c>
      <c r="M85" s="1087">
        <f t="shared" si="22"/>
        <v>0</v>
      </c>
      <c r="N85" s="1087">
        <f t="shared" si="22"/>
        <v>0</v>
      </c>
      <c r="O85" s="1087">
        <f t="shared" si="22"/>
        <v>0</v>
      </c>
      <c r="P85" s="1087">
        <f t="shared" si="22"/>
        <v>0</v>
      </c>
      <c r="Q85" s="1087">
        <f t="shared" si="22"/>
        <v>0</v>
      </c>
      <c r="R85" s="1088"/>
      <c r="S85" s="1089">
        <f>SUM(S77:S84)</f>
        <v>0</v>
      </c>
      <c r="T85" s="1086">
        <f>SUM(T77:T84)</f>
        <v>0</v>
      </c>
      <c r="U85" s="1090">
        <f>SUM(U77:U84)</f>
        <v>0</v>
      </c>
      <c r="V85" s="896"/>
    </row>
    <row r="86" spans="2:22" ht="3.75" customHeight="1" x14ac:dyDescent="0.25">
      <c r="B86" s="1072"/>
      <c r="C86" s="109"/>
      <c r="D86" s="109"/>
      <c r="E86" s="109"/>
      <c r="F86" s="109"/>
      <c r="G86" s="109"/>
      <c r="H86" s="109"/>
      <c r="I86" s="1074"/>
      <c r="J86" s="1091"/>
      <c r="K86" s="110"/>
      <c r="L86" s="40"/>
      <c r="M86" s="40"/>
      <c r="N86" s="40"/>
      <c r="O86" s="40"/>
      <c r="P86" s="110"/>
      <c r="Q86" s="40"/>
      <c r="R86" s="1084"/>
      <c r="S86" s="40"/>
      <c r="T86" s="40"/>
      <c r="U86" s="40"/>
      <c r="V86" s="896"/>
    </row>
    <row r="87" spans="2:22" ht="15.75" thickBot="1" x14ac:dyDescent="0.3">
      <c r="B87" s="1072"/>
      <c r="C87" s="143" t="s">
        <v>221</v>
      </c>
      <c r="D87" s="143"/>
      <c r="E87" s="143"/>
      <c r="F87" s="143"/>
      <c r="G87" s="143"/>
      <c r="H87" s="112"/>
      <c r="I87" s="112"/>
      <c r="J87" s="112"/>
      <c r="K87" s="112"/>
      <c r="L87" s="1101"/>
      <c r="M87" s="43"/>
      <c r="N87" s="43"/>
      <c r="O87" s="43"/>
      <c r="P87" s="110"/>
      <c r="Q87" s="43"/>
      <c r="R87" s="1084"/>
      <c r="S87" s="43"/>
      <c r="T87" s="43"/>
      <c r="U87" s="43"/>
      <c r="V87" s="896"/>
    </row>
    <row r="88" spans="2:22" x14ac:dyDescent="0.25">
      <c r="B88" s="1072"/>
      <c r="C88" s="110"/>
      <c r="D88" s="264" t="s">
        <v>222</v>
      </c>
      <c r="E88" s="264"/>
      <c r="F88" s="264"/>
      <c r="G88" s="264"/>
      <c r="H88" s="264"/>
      <c r="I88" s="702">
        <f>IFERROR(J88/J$118," ")</f>
        <v>1.9217228309957049E-2</v>
      </c>
      <c r="J88" s="96">
        <f>K88+S88</f>
        <v>445000</v>
      </c>
      <c r="K88" s="57">
        <f>SUM(L88:Q88)</f>
        <v>445000</v>
      </c>
      <c r="L88" s="67"/>
      <c r="M88" s="47"/>
      <c r="N88" s="47">
        <v>445000</v>
      </c>
      <c r="O88" s="47"/>
      <c r="P88" s="47"/>
      <c r="Q88" s="47"/>
      <c r="R88" s="1082"/>
      <c r="S88" s="59">
        <f>SUM(T88:U88)</f>
        <v>0</v>
      </c>
      <c r="T88" s="67"/>
      <c r="U88" s="55"/>
      <c r="V88" s="896"/>
    </row>
    <row r="89" spans="2:22" x14ac:dyDescent="0.25">
      <c r="B89" s="1072"/>
      <c r="C89" s="110"/>
      <c r="D89" s="115" t="s">
        <v>223</v>
      </c>
      <c r="E89" s="115"/>
      <c r="F89" s="115"/>
      <c r="G89" s="115"/>
      <c r="H89" s="115"/>
      <c r="I89" s="703">
        <f>IFERROR(J89/J$118," ")</f>
        <v>1.2091739161321289E-3</v>
      </c>
      <c r="J89" s="97">
        <f>K89+S89</f>
        <v>28000</v>
      </c>
      <c r="K89" s="45">
        <f>SUM(L89:Q89)</f>
        <v>28000</v>
      </c>
      <c r="L89" s="69"/>
      <c r="M89" s="48"/>
      <c r="N89" s="48">
        <v>28000</v>
      </c>
      <c r="O89" s="48"/>
      <c r="P89" s="48"/>
      <c r="Q89" s="48"/>
      <c r="R89" s="1084"/>
      <c r="S89" s="72">
        <f>SUM(T89:U89)</f>
        <v>0</v>
      </c>
      <c r="T89" s="69"/>
      <c r="U89" s="56"/>
      <c r="V89" s="896"/>
    </row>
    <row r="90" spans="2:22" x14ac:dyDescent="0.25">
      <c r="B90" s="1072"/>
      <c r="C90" s="110"/>
      <c r="D90" s="114" t="s">
        <v>476</v>
      </c>
      <c r="E90" s="2280"/>
      <c r="F90" s="2281"/>
      <c r="G90" s="2282"/>
      <c r="H90" s="114"/>
      <c r="I90" s="703">
        <f>IFERROR(J90/J$118," ")</f>
        <v>0</v>
      </c>
      <c r="J90" s="98">
        <f>K90+S90</f>
        <v>0</v>
      </c>
      <c r="K90" s="45">
        <f>SUM(L90:Q90)</f>
        <v>0</v>
      </c>
      <c r="L90" s="75"/>
      <c r="M90" s="51"/>
      <c r="N90" s="51"/>
      <c r="O90" s="51"/>
      <c r="P90" s="51"/>
      <c r="Q90" s="51"/>
      <c r="R90" s="1084"/>
      <c r="S90" s="73">
        <f>SUM(T90:U90)</f>
        <v>0</v>
      </c>
      <c r="T90" s="75"/>
      <c r="U90" s="79"/>
      <c r="V90" s="896"/>
    </row>
    <row r="91" spans="2:22" ht="15.75" thickBot="1" x14ac:dyDescent="0.3">
      <c r="B91" s="1072"/>
      <c r="C91" s="110"/>
      <c r="D91" s="109"/>
      <c r="E91" s="109"/>
      <c r="F91" s="109"/>
      <c r="G91" s="113" t="s">
        <v>174</v>
      </c>
      <c r="H91" s="113"/>
      <c r="I91" s="704">
        <f>IFERROR(J91/J$118," ")</f>
        <v>2.0426402226089178E-2</v>
      </c>
      <c r="J91" s="99">
        <f t="shared" ref="J91:Q91" si="23">SUM(J88:J90)</f>
        <v>473000</v>
      </c>
      <c r="K91" s="60">
        <f t="shared" si="23"/>
        <v>473000</v>
      </c>
      <c r="L91" s="1086">
        <f t="shared" si="23"/>
        <v>0</v>
      </c>
      <c r="M91" s="1087">
        <f t="shared" si="23"/>
        <v>0</v>
      </c>
      <c r="N91" s="1087">
        <f t="shared" si="23"/>
        <v>473000</v>
      </c>
      <c r="O91" s="1087">
        <f t="shared" si="23"/>
        <v>0</v>
      </c>
      <c r="P91" s="1087">
        <f t="shared" si="23"/>
        <v>0</v>
      </c>
      <c r="Q91" s="1087">
        <f t="shared" si="23"/>
        <v>0</v>
      </c>
      <c r="R91" s="1088"/>
      <c r="S91" s="1089">
        <f>SUM(S88:S90)</f>
        <v>0</v>
      </c>
      <c r="T91" s="1086">
        <f>SUM(T88:T90)</f>
        <v>0</v>
      </c>
      <c r="U91" s="1090">
        <f>SUM(U88:U90)</f>
        <v>0</v>
      </c>
      <c r="V91" s="896"/>
    </row>
    <row r="92" spans="2:22" ht="3.75" customHeight="1" x14ac:dyDescent="0.25">
      <c r="B92" s="1072"/>
      <c r="C92" s="109"/>
      <c r="D92" s="109"/>
      <c r="E92" s="109"/>
      <c r="F92" s="109"/>
      <c r="G92" s="109"/>
      <c r="H92" s="109"/>
      <c r="I92" s="1074"/>
      <c r="J92" s="1091"/>
      <c r="K92" s="110"/>
      <c r="L92" s="141"/>
      <c r="M92" s="141"/>
      <c r="N92" s="141"/>
      <c r="O92" s="141"/>
      <c r="P92" s="110"/>
      <c r="Q92" s="141"/>
      <c r="R92" s="1084"/>
      <c r="S92" s="141"/>
      <c r="T92" s="141"/>
      <c r="U92" s="141"/>
      <c r="V92" s="896"/>
    </row>
    <row r="93" spans="2:22" ht="15.75" thickBot="1" x14ac:dyDescent="0.3">
      <c r="B93" s="1072"/>
      <c r="C93" s="143" t="s">
        <v>224</v>
      </c>
      <c r="D93" s="143"/>
      <c r="E93" s="143"/>
      <c r="F93" s="143"/>
      <c r="G93" s="143"/>
      <c r="H93" s="112"/>
      <c r="I93" s="112"/>
      <c r="J93" s="112"/>
      <c r="K93" s="112"/>
      <c r="L93" s="43"/>
      <c r="M93" s="43"/>
      <c r="N93" s="43"/>
      <c r="O93" s="43"/>
      <c r="P93" s="110"/>
      <c r="Q93" s="43"/>
      <c r="R93" s="1084"/>
      <c r="S93" s="43"/>
      <c r="T93" s="43"/>
      <c r="U93" s="43"/>
      <c r="V93" s="896"/>
    </row>
    <row r="94" spans="2:22" x14ac:dyDescent="0.25">
      <c r="B94" s="1072"/>
      <c r="C94" s="110"/>
      <c r="D94" s="264" t="s">
        <v>225</v>
      </c>
      <c r="E94" s="264"/>
      <c r="F94" s="264"/>
      <c r="G94" s="264"/>
      <c r="H94" s="264"/>
      <c r="I94" s="702">
        <f t="shared" ref="I94:I105" si="24">IFERROR(J94/J$118," ")</f>
        <v>0</v>
      </c>
      <c r="J94" s="96">
        <f t="shared" ref="J94:J104" si="25">K94+S94</f>
        <v>0</v>
      </c>
      <c r="K94" s="57">
        <f t="shared" ref="K94:K104" si="26">SUM(L94:Q94)</f>
        <v>0</v>
      </c>
      <c r="L94" s="67"/>
      <c r="M94" s="47"/>
      <c r="N94" s="47"/>
      <c r="O94" s="47"/>
      <c r="P94" s="47"/>
      <c r="Q94" s="47"/>
      <c r="R94" s="1082"/>
      <c r="S94" s="59">
        <f t="shared" ref="S94:S104" si="27">SUM(T94:U94)</f>
        <v>0</v>
      </c>
      <c r="T94" s="67"/>
      <c r="U94" s="55"/>
      <c r="V94" s="896"/>
    </row>
    <row r="95" spans="2:22" x14ac:dyDescent="0.25">
      <c r="B95" s="1072"/>
      <c r="C95" s="110"/>
      <c r="D95" s="115" t="s">
        <v>226</v>
      </c>
      <c r="E95" s="115"/>
      <c r="F95" s="115"/>
      <c r="G95" s="115"/>
      <c r="H95" s="115"/>
      <c r="I95" s="703">
        <f t="shared" si="24"/>
        <v>1.9746673746092046E-3</v>
      </c>
      <c r="J95" s="97">
        <f t="shared" si="25"/>
        <v>45726</v>
      </c>
      <c r="K95" s="45">
        <f t="shared" si="26"/>
        <v>45726</v>
      </c>
      <c r="L95" s="69"/>
      <c r="M95" s="48"/>
      <c r="N95" s="48">
        <v>45726</v>
      </c>
      <c r="O95" s="48"/>
      <c r="P95" s="48"/>
      <c r="Q95" s="48"/>
      <c r="R95" s="1084"/>
      <c r="S95" s="72">
        <f t="shared" si="27"/>
        <v>0</v>
      </c>
      <c r="T95" s="69"/>
      <c r="U95" s="56"/>
      <c r="V95" s="896"/>
    </row>
    <row r="96" spans="2:22" x14ac:dyDescent="0.25">
      <c r="B96" s="1072"/>
      <c r="C96" s="110"/>
      <c r="D96" s="115" t="s">
        <v>118</v>
      </c>
      <c r="E96" s="115"/>
      <c r="F96" s="115"/>
      <c r="G96" s="115"/>
      <c r="H96" s="115"/>
      <c r="I96" s="703">
        <f t="shared" si="24"/>
        <v>5.0959339151907005E-3</v>
      </c>
      <c r="J96" s="97">
        <f t="shared" si="25"/>
        <v>118003</v>
      </c>
      <c r="K96" s="45">
        <f t="shared" si="26"/>
        <v>118003</v>
      </c>
      <c r="L96" s="69">
        <v>118003</v>
      </c>
      <c r="M96" s="48"/>
      <c r="N96" s="48"/>
      <c r="O96" s="48"/>
      <c r="P96" s="48"/>
      <c r="Q96" s="48"/>
      <c r="R96" s="1084"/>
      <c r="S96" s="72">
        <f t="shared" si="27"/>
        <v>0</v>
      </c>
      <c r="T96" s="69"/>
      <c r="U96" s="56"/>
      <c r="V96" s="896"/>
    </row>
    <row r="97" spans="2:22" x14ac:dyDescent="0.25">
      <c r="B97" s="1072"/>
      <c r="C97" s="110"/>
      <c r="D97" s="115" t="s">
        <v>227</v>
      </c>
      <c r="E97" s="115"/>
      <c r="F97" s="115"/>
      <c r="G97" s="115"/>
      <c r="H97" s="115"/>
      <c r="I97" s="703">
        <f t="shared" si="24"/>
        <v>0</v>
      </c>
      <c r="J97" s="97">
        <f t="shared" si="25"/>
        <v>0</v>
      </c>
      <c r="K97" s="45">
        <f t="shared" si="26"/>
        <v>0</v>
      </c>
      <c r="L97" s="69"/>
      <c r="M97" s="48"/>
      <c r="N97" s="48"/>
      <c r="O97" s="48"/>
      <c r="P97" s="48"/>
      <c r="Q97" s="48"/>
      <c r="R97" s="1084"/>
      <c r="S97" s="72">
        <f t="shared" si="27"/>
        <v>0</v>
      </c>
      <c r="T97" s="69"/>
      <c r="U97" s="56"/>
      <c r="V97" s="896"/>
    </row>
    <row r="98" spans="2:22" x14ac:dyDescent="0.25">
      <c r="B98" s="1072"/>
      <c r="C98" s="110"/>
      <c r="D98" s="115" t="s">
        <v>228</v>
      </c>
      <c r="E98" s="115"/>
      <c r="F98" s="115"/>
      <c r="G98" s="706" t="str">
        <f>IF(AND(J98&lt;&gt;0,'6E -4%'!I55=0),"Complete Form 6E","")</f>
        <v/>
      </c>
      <c r="H98" s="115"/>
      <c r="I98" s="703">
        <f t="shared" si="24"/>
        <v>3.6652263821883503E-2</v>
      </c>
      <c r="J98" s="97">
        <f t="shared" si="25"/>
        <v>848731</v>
      </c>
      <c r="K98" s="45">
        <f t="shared" si="26"/>
        <v>848731</v>
      </c>
      <c r="L98" s="69">
        <v>848731</v>
      </c>
      <c r="M98" s="48"/>
      <c r="N98" s="48"/>
      <c r="O98" s="48"/>
      <c r="P98" s="48"/>
      <c r="Q98" s="48"/>
      <c r="R98" s="1084"/>
      <c r="S98" s="72">
        <f t="shared" si="27"/>
        <v>0</v>
      </c>
      <c r="T98" s="69"/>
      <c r="U98" s="56"/>
      <c r="V98" s="896"/>
    </row>
    <row r="99" spans="2:22" x14ac:dyDescent="0.25">
      <c r="B99" s="1072"/>
      <c r="C99" s="110"/>
      <c r="D99" s="114" t="s">
        <v>229</v>
      </c>
      <c r="E99" s="114"/>
      <c r="F99" s="114"/>
      <c r="G99" s="114"/>
      <c r="H99" s="114"/>
      <c r="I99" s="703">
        <f t="shared" si="24"/>
        <v>0</v>
      </c>
      <c r="J99" s="97">
        <f t="shared" si="25"/>
        <v>0</v>
      </c>
      <c r="K99" s="45">
        <f t="shared" si="26"/>
        <v>0</v>
      </c>
      <c r="L99" s="69"/>
      <c r="M99" s="48"/>
      <c r="N99" s="48"/>
      <c r="O99" s="48"/>
      <c r="P99" s="48"/>
      <c r="Q99" s="48"/>
      <c r="R99" s="1084"/>
      <c r="S99" s="72">
        <f t="shared" si="27"/>
        <v>0</v>
      </c>
      <c r="T99" s="69"/>
      <c r="U99" s="56"/>
      <c r="V99" s="896"/>
    </row>
    <row r="100" spans="2:22" x14ac:dyDescent="0.25">
      <c r="B100" s="1072"/>
      <c r="C100" s="110"/>
      <c r="D100" s="114" t="s">
        <v>230</v>
      </c>
      <c r="E100" s="114"/>
      <c r="F100" s="114"/>
      <c r="G100" s="114"/>
      <c r="H100" s="114"/>
      <c r="I100" s="703">
        <f t="shared" si="24"/>
        <v>0</v>
      </c>
      <c r="J100" s="97">
        <f t="shared" si="25"/>
        <v>0</v>
      </c>
      <c r="K100" s="45">
        <f t="shared" si="26"/>
        <v>0</v>
      </c>
      <c r="L100" s="69"/>
      <c r="M100" s="48"/>
      <c r="N100" s="48"/>
      <c r="O100" s="48"/>
      <c r="P100" s="48"/>
      <c r="Q100" s="48"/>
      <c r="R100" s="1084"/>
      <c r="S100" s="72">
        <f t="shared" si="27"/>
        <v>0</v>
      </c>
      <c r="T100" s="69"/>
      <c r="U100" s="56"/>
      <c r="V100" s="896"/>
    </row>
    <row r="101" spans="2:22" x14ac:dyDescent="0.25">
      <c r="B101" s="1072"/>
      <c r="C101" s="110"/>
      <c r="D101" s="114" t="s">
        <v>231</v>
      </c>
      <c r="E101" s="114"/>
      <c r="F101" s="114"/>
      <c r="G101" s="114"/>
      <c r="H101" s="114"/>
      <c r="I101" s="703">
        <f t="shared" si="24"/>
        <v>0</v>
      </c>
      <c r="J101" s="97">
        <f t="shared" si="25"/>
        <v>0</v>
      </c>
      <c r="K101" s="45">
        <f t="shared" si="26"/>
        <v>0</v>
      </c>
      <c r="L101" s="69"/>
      <c r="M101" s="48"/>
      <c r="N101" s="48"/>
      <c r="O101" s="48"/>
      <c r="P101" s="48"/>
      <c r="Q101" s="48"/>
      <c r="R101" s="1084"/>
      <c r="S101" s="72">
        <f t="shared" si="27"/>
        <v>0</v>
      </c>
      <c r="T101" s="69"/>
      <c r="U101" s="56"/>
      <c r="V101" s="896"/>
    </row>
    <row r="102" spans="2:22" x14ac:dyDescent="0.25">
      <c r="B102" s="1072"/>
      <c r="C102" s="110"/>
      <c r="D102" s="115" t="s">
        <v>232</v>
      </c>
      <c r="E102" s="115"/>
      <c r="F102" s="115"/>
      <c r="G102" s="115"/>
      <c r="H102" s="115"/>
      <c r="I102" s="703">
        <f t="shared" si="24"/>
        <v>3.0574826165055262E-4</v>
      </c>
      <c r="J102" s="97">
        <f t="shared" si="25"/>
        <v>7080</v>
      </c>
      <c r="K102" s="45">
        <f t="shared" si="26"/>
        <v>7080</v>
      </c>
      <c r="L102" s="69"/>
      <c r="M102" s="48"/>
      <c r="N102" s="48">
        <v>7080</v>
      </c>
      <c r="O102" s="48"/>
      <c r="P102" s="48"/>
      <c r="Q102" s="48"/>
      <c r="R102" s="1084"/>
      <c r="S102" s="72">
        <f t="shared" si="27"/>
        <v>0</v>
      </c>
      <c r="T102" s="69"/>
      <c r="U102" s="56"/>
      <c r="V102" s="896"/>
    </row>
    <row r="103" spans="2:22" x14ac:dyDescent="0.25">
      <c r="B103" s="1072"/>
      <c r="C103" s="110"/>
      <c r="D103" s="114" t="s">
        <v>233</v>
      </c>
      <c r="E103" s="114"/>
      <c r="F103" s="114"/>
      <c r="G103" s="114"/>
      <c r="H103" s="114"/>
      <c r="I103" s="703">
        <f t="shared" si="24"/>
        <v>3.7272785964772876E-4</v>
      </c>
      <c r="J103" s="97">
        <f t="shared" si="25"/>
        <v>8631</v>
      </c>
      <c r="K103" s="45">
        <f t="shared" si="26"/>
        <v>8631</v>
      </c>
      <c r="L103" s="69"/>
      <c r="M103" s="48"/>
      <c r="N103" s="48">
        <f>9013-382</f>
        <v>8631</v>
      </c>
      <c r="O103" s="48"/>
      <c r="P103" s="48"/>
      <c r="Q103" s="48"/>
      <c r="R103" s="1084"/>
      <c r="S103" s="72">
        <f t="shared" si="27"/>
        <v>0</v>
      </c>
      <c r="T103" s="69"/>
      <c r="U103" s="56"/>
      <c r="V103" s="896"/>
    </row>
    <row r="104" spans="2:22" x14ac:dyDescent="0.25">
      <c r="B104" s="1072"/>
      <c r="C104" s="110"/>
      <c r="D104" s="115" t="s">
        <v>646</v>
      </c>
      <c r="E104" s="115"/>
      <c r="F104" s="115"/>
      <c r="G104" s="115"/>
      <c r="H104" s="115"/>
      <c r="I104" s="703">
        <f t="shared" si="24"/>
        <v>0</v>
      </c>
      <c r="J104" s="98">
        <f t="shared" si="25"/>
        <v>0</v>
      </c>
      <c r="K104" s="45">
        <f t="shared" si="26"/>
        <v>0</v>
      </c>
      <c r="L104" s="75"/>
      <c r="M104" s="51"/>
      <c r="N104" s="51"/>
      <c r="O104" s="51"/>
      <c r="P104" s="51"/>
      <c r="Q104" s="51"/>
      <c r="R104" s="1084"/>
      <c r="S104" s="73">
        <f t="shared" si="27"/>
        <v>0</v>
      </c>
      <c r="T104" s="75"/>
      <c r="U104" s="79"/>
      <c r="V104" s="896"/>
    </row>
    <row r="105" spans="2:22" ht="15.75" thickBot="1" x14ac:dyDescent="0.3">
      <c r="B105" s="1072"/>
      <c r="C105" s="110"/>
      <c r="D105" s="109"/>
      <c r="E105" s="109"/>
      <c r="F105" s="109"/>
      <c r="G105" s="113" t="s">
        <v>174</v>
      </c>
      <c r="H105" s="113"/>
      <c r="I105" s="704">
        <f t="shared" si="24"/>
        <v>4.4401341232981686E-2</v>
      </c>
      <c r="J105" s="99">
        <f t="shared" ref="J105:Q105" si="28">SUM(J94:J104)</f>
        <v>1028171</v>
      </c>
      <c r="K105" s="60">
        <f t="shared" si="28"/>
        <v>1028171</v>
      </c>
      <c r="L105" s="1086">
        <f t="shared" si="28"/>
        <v>966734</v>
      </c>
      <c r="M105" s="1087">
        <f t="shared" si="28"/>
        <v>0</v>
      </c>
      <c r="N105" s="1087">
        <f t="shared" si="28"/>
        <v>61437</v>
      </c>
      <c r="O105" s="1087">
        <f t="shared" si="28"/>
        <v>0</v>
      </c>
      <c r="P105" s="1087">
        <f t="shared" si="28"/>
        <v>0</v>
      </c>
      <c r="Q105" s="1087">
        <f t="shared" si="28"/>
        <v>0</v>
      </c>
      <c r="R105" s="1088"/>
      <c r="S105" s="1089">
        <f>SUM(S94:S104)</f>
        <v>0</v>
      </c>
      <c r="T105" s="1086">
        <f>SUM(T94:T104)</f>
        <v>0</v>
      </c>
      <c r="U105" s="1090">
        <f>SUM(U94:U104)</f>
        <v>0</v>
      </c>
      <c r="V105" s="896"/>
    </row>
    <row r="106" spans="2:22" ht="9" customHeight="1" thickBot="1" x14ac:dyDescent="0.3">
      <c r="B106" s="1092"/>
      <c r="C106" s="87"/>
      <c r="D106" s="88"/>
      <c r="E106" s="88"/>
      <c r="F106" s="88"/>
      <c r="G106" s="88"/>
      <c r="H106" s="88"/>
      <c r="I106" s="916"/>
      <c r="J106" s="1093"/>
      <c r="K106" s="1102"/>
      <c r="L106" s="89"/>
      <c r="M106" s="89"/>
      <c r="N106" s="89"/>
      <c r="O106" s="89"/>
      <c r="P106" s="1102"/>
      <c r="Q106" s="89"/>
      <c r="R106" s="1103"/>
      <c r="S106" s="89"/>
      <c r="T106" s="89"/>
      <c r="U106" s="89"/>
      <c r="V106" s="917"/>
    </row>
    <row r="107" spans="2:22" ht="3.75" customHeight="1" x14ac:dyDescent="0.25">
      <c r="B107" s="1072"/>
      <c r="C107" s="112"/>
      <c r="D107" s="113"/>
      <c r="E107" s="113"/>
      <c r="F107" s="113"/>
      <c r="G107" s="113"/>
      <c r="H107" s="113"/>
      <c r="I107" s="1074"/>
      <c r="J107" s="1074"/>
      <c r="K107" s="110"/>
      <c r="L107" s="40"/>
      <c r="M107" s="40"/>
      <c r="N107" s="40"/>
      <c r="O107" s="40"/>
      <c r="P107" s="110"/>
      <c r="Q107" s="40"/>
      <c r="R107" s="1084"/>
      <c r="S107" s="40"/>
      <c r="T107" s="40"/>
      <c r="U107" s="40"/>
      <c r="V107" s="896"/>
    </row>
    <row r="108" spans="2:22" ht="15.75" thickBot="1" x14ac:dyDescent="0.3">
      <c r="B108" s="1072"/>
      <c r="C108" s="143" t="s">
        <v>235</v>
      </c>
      <c r="D108" s="143"/>
      <c r="E108" s="143"/>
      <c r="F108" s="143"/>
      <c r="G108" s="143"/>
      <c r="H108" s="112"/>
      <c r="I108" s="112"/>
      <c r="J108" s="112"/>
      <c r="K108" s="112"/>
      <c r="L108" s="40"/>
      <c r="M108" s="40"/>
      <c r="N108" s="40"/>
      <c r="O108" s="40"/>
      <c r="P108" s="133"/>
      <c r="Q108" s="40"/>
      <c r="R108" s="1084"/>
      <c r="S108" s="40"/>
      <c r="T108" s="40"/>
      <c r="U108" s="40"/>
      <c r="V108" s="896"/>
    </row>
    <row r="109" spans="2:22" x14ac:dyDescent="0.25">
      <c r="B109" s="1072"/>
      <c r="C109" s="133"/>
      <c r="D109" s="263" t="s">
        <v>236</v>
      </c>
      <c r="E109" s="263"/>
      <c r="F109" s="263"/>
      <c r="G109" s="263"/>
      <c r="H109" s="263"/>
      <c r="I109" s="702">
        <f t="shared" ref="I109:I116" si="29">IFERROR(J109/J$118," ")</f>
        <v>2.1592391359502305E-3</v>
      </c>
      <c r="J109" s="93">
        <f t="shared" ref="J109:J115" si="30">K109+S109</f>
        <v>50000</v>
      </c>
      <c r="K109" s="57">
        <f t="shared" ref="K109:K115" si="31">SUM(L109:Q109)</f>
        <v>50000</v>
      </c>
      <c r="L109" s="67">
        <v>50000</v>
      </c>
      <c r="M109" s="47"/>
      <c r="N109" s="47"/>
      <c r="O109" s="47"/>
      <c r="P109" s="47"/>
      <c r="Q109" s="47"/>
      <c r="R109" s="1082"/>
      <c r="S109" s="59">
        <f t="shared" ref="S109:S115" si="32">SUM(T109:U109)</f>
        <v>0</v>
      </c>
      <c r="T109" s="67"/>
      <c r="U109" s="55"/>
      <c r="V109" s="896"/>
    </row>
    <row r="110" spans="2:22" x14ac:dyDescent="0.25">
      <c r="B110" s="1072"/>
      <c r="C110" s="133"/>
      <c r="D110" s="109" t="s">
        <v>237</v>
      </c>
      <c r="E110" s="109"/>
      <c r="F110" s="109"/>
      <c r="G110" s="109"/>
      <c r="H110" s="109"/>
      <c r="I110" s="703">
        <f t="shared" si="29"/>
        <v>1.7273913087601843E-3</v>
      </c>
      <c r="J110" s="94">
        <f t="shared" si="30"/>
        <v>40000</v>
      </c>
      <c r="K110" s="61">
        <f t="shared" si="31"/>
        <v>40000</v>
      </c>
      <c r="L110" s="69">
        <v>40000</v>
      </c>
      <c r="M110" s="48"/>
      <c r="N110" s="48"/>
      <c r="O110" s="48"/>
      <c r="P110" s="48"/>
      <c r="Q110" s="48"/>
      <c r="R110" s="1084"/>
      <c r="S110" s="76">
        <f t="shared" si="32"/>
        <v>0</v>
      </c>
      <c r="T110" s="69"/>
      <c r="U110" s="56"/>
      <c r="V110" s="896"/>
    </row>
    <row r="111" spans="2:22" x14ac:dyDescent="0.25">
      <c r="B111" s="1072"/>
      <c r="C111" s="110"/>
      <c r="D111" s="109" t="s">
        <v>238</v>
      </c>
      <c r="E111" s="109"/>
      <c r="F111" s="109"/>
      <c r="G111" s="109"/>
      <c r="H111" s="109"/>
      <c r="I111" s="703">
        <f t="shared" si="29"/>
        <v>0</v>
      </c>
      <c r="J111" s="94">
        <f t="shared" si="30"/>
        <v>0</v>
      </c>
      <c r="K111" s="61">
        <f t="shared" si="31"/>
        <v>0</v>
      </c>
      <c r="L111" s="69"/>
      <c r="M111" s="48"/>
      <c r="N111" s="48"/>
      <c r="O111" s="48"/>
      <c r="P111" s="48"/>
      <c r="Q111" s="48"/>
      <c r="R111" s="1084"/>
      <c r="S111" s="76">
        <f t="shared" si="32"/>
        <v>0</v>
      </c>
      <c r="T111" s="69"/>
      <c r="U111" s="56"/>
      <c r="V111" s="896"/>
    </row>
    <row r="112" spans="2:22" x14ac:dyDescent="0.25">
      <c r="B112" s="1072"/>
      <c r="C112" s="110"/>
      <c r="D112" s="109" t="s">
        <v>239</v>
      </c>
      <c r="E112" s="109"/>
      <c r="F112" s="109"/>
      <c r="G112" s="109"/>
      <c r="H112" s="109"/>
      <c r="I112" s="703">
        <f>IFERROR(J112/J$118," ")</f>
        <v>0</v>
      </c>
      <c r="J112" s="94">
        <f t="shared" si="30"/>
        <v>0</v>
      </c>
      <c r="K112" s="61">
        <f t="shared" si="31"/>
        <v>0</v>
      </c>
      <c r="L112" s="69"/>
      <c r="M112" s="48"/>
      <c r="N112" s="48"/>
      <c r="O112" s="48"/>
      <c r="P112" s="48"/>
      <c r="Q112" s="48"/>
      <c r="R112" s="1084"/>
      <c r="S112" s="76">
        <f t="shared" si="32"/>
        <v>0</v>
      </c>
      <c r="T112" s="69"/>
      <c r="U112" s="56"/>
      <c r="V112" s="896"/>
    </row>
    <row r="113" spans="2:22" x14ac:dyDescent="0.25">
      <c r="B113" s="1072"/>
      <c r="C113" s="110"/>
      <c r="D113" s="109" t="s">
        <v>240</v>
      </c>
      <c r="E113" s="109"/>
      <c r="F113" s="109"/>
      <c r="G113" s="109"/>
      <c r="H113" s="109"/>
      <c r="I113" s="703">
        <f t="shared" si="29"/>
        <v>0</v>
      </c>
      <c r="J113" s="94">
        <f t="shared" si="30"/>
        <v>0</v>
      </c>
      <c r="K113" s="61">
        <f t="shared" si="31"/>
        <v>0</v>
      </c>
      <c r="L113" s="69"/>
      <c r="M113" s="48"/>
      <c r="N113" s="48"/>
      <c r="O113" s="48"/>
      <c r="P113" s="48"/>
      <c r="Q113" s="48"/>
      <c r="R113" s="1084"/>
      <c r="S113" s="76">
        <f t="shared" si="32"/>
        <v>0</v>
      </c>
      <c r="T113" s="69"/>
      <c r="U113" s="56"/>
      <c r="V113" s="896"/>
    </row>
    <row r="114" spans="2:22" x14ac:dyDescent="0.25">
      <c r="B114" s="1072"/>
      <c r="C114" s="110"/>
      <c r="D114" s="109" t="s">
        <v>241</v>
      </c>
      <c r="E114" s="109"/>
      <c r="F114" s="109"/>
      <c r="G114" s="109"/>
      <c r="H114" s="109"/>
      <c r="I114" s="703">
        <f t="shared" si="29"/>
        <v>0</v>
      </c>
      <c r="J114" s="94">
        <f t="shared" si="30"/>
        <v>0</v>
      </c>
      <c r="K114" s="61">
        <f t="shared" si="31"/>
        <v>0</v>
      </c>
      <c r="L114" s="69"/>
      <c r="M114" s="48"/>
      <c r="N114" s="48"/>
      <c r="O114" s="48"/>
      <c r="P114" s="48"/>
      <c r="Q114" s="48"/>
      <c r="R114" s="1084"/>
      <c r="S114" s="76">
        <f t="shared" si="32"/>
        <v>0</v>
      </c>
      <c r="T114" s="69"/>
      <c r="U114" s="56"/>
      <c r="V114" s="896"/>
    </row>
    <row r="115" spans="2:22" x14ac:dyDescent="0.25">
      <c r="B115" s="1072"/>
      <c r="C115" s="110"/>
      <c r="D115" s="109" t="s">
        <v>242</v>
      </c>
      <c r="E115" s="109"/>
      <c r="F115" s="109"/>
      <c r="G115" s="109"/>
      <c r="H115" s="109"/>
      <c r="I115" s="705">
        <f t="shared" si="29"/>
        <v>0</v>
      </c>
      <c r="J115" s="95">
        <f t="shared" si="30"/>
        <v>0</v>
      </c>
      <c r="K115" s="61">
        <f t="shared" si="31"/>
        <v>0</v>
      </c>
      <c r="L115" s="75"/>
      <c r="M115" s="51"/>
      <c r="N115" s="51"/>
      <c r="O115" s="51"/>
      <c r="P115" s="51"/>
      <c r="Q115" s="51"/>
      <c r="R115" s="1084"/>
      <c r="S115" s="77">
        <f t="shared" si="32"/>
        <v>0</v>
      </c>
      <c r="T115" s="75"/>
      <c r="U115" s="79"/>
      <c r="V115" s="896"/>
    </row>
    <row r="116" spans="2:22" ht="15.75" thickBot="1" x14ac:dyDescent="0.3">
      <c r="B116" s="1072"/>
      <c r="C116" s="110"/>
      <c r="D116" s="109"/>
      <c r="E116" s="109"/>
      <c r="F116" s="109"/>
      <c r="G116" s="113" t="s">
        <v>174</v>
      </c>
      <c r="H116" s="113"/>
      <c r="I116" s="704">
        <f t="shared" si="29"/>
        <v>3.8866304447104146E-3</v>
      </c>
      <c r="J116" s="99">
        <f t="shared" ref="J116:Q116" si="33">SUM(J109:J115)</f>
        <v>90000</v>
      </c>
      <c r="K116" s="60">
        <f t="shared" si="33"/>
        <v>90000</v>
      </c>
      <c r="L116" s="1086">
        <f t="shared" si="33"/>
        <v>90000</v>
      </c>
      <c r="M116" s="1087">
        <f t="shared" si="33"/>
        <v>0</v>
      </c>
      <c r="N116" s="1087">
        <f t="shared" si="33"/>
        <v>0</v>
      </c>
      <c r="O116" s="1087">
        <f t="shared" si="33"/>
        <v>0</v>
      </c>
      <c r="P116" s="1087">
        <f t="shared" si="33"/>
        <v>0</v>
      </c>
      <c r="Q116" s="1087">
        <f t="shared" si="33"/>
        <v>0</v>
      </c>
      <c r="R116" s="1088"/>
      <c r="S116" s="1089">
        <f>SUM(S109:S115)</f>
        <v>0</v>
      </c>
      <c r="T116" s="1086">
        <f>SUM(T109:T115)</f>
        <v>0</v>
      </c>
      <c r="U116" s="1090">
        <f>SUM(U109:U115)</f>
        <v>0</v>
      </c>
      <c r="V116" s="896"/>
    </row>
    <row r="117" spans="2:22" ht="7.5" customHeight="1" thickBot="1" x14ac:dyDescent="0.3">
      <c r="B117" s="1072"/>
      <c r="C117" s="115"/>
      <c r="D117" s="109"/>
      <c r="E117" s="109"/>
      <c r="F117" s="109"/>
      <c r="G117" s="109"/>
      <c r="H117" s="109"/>
      <c r="I117" s="110"/>
      <c r="J117" s="44"/>
      <c r="K117" s="110"/>
      <c r="L117" s="44"/>
      <c r="M117" s="44"/>
      <c r="N117" s="44"/>
      <c r="O117" s="44"/>
      <c r="P117" s="110"/>
      <c r="Q117" s="44"/>
      <c r="R117" s="1084"/>
      <c r="S117" s="44"/>
      <c r="T117" s="44"/>
      <c r="U117" s="44"/>
      <c r="V117" s="896"/>
    </row>
    <row r="118" spans="2:22" ht="15.75" thickBot="1" x14ac:dyDescent="0.3">
      <c r="B118" s="1072"/>
      <c r="C118" s="265" t="s">
        <v>243</v>
      </c>
      <c r="D118" s="266"/>
      <c r="E118" s="266"/>
      <c r="F118" s="266"/>
      <c r="G118" s="266"/>
      <c r="H118" s="266"/>
      <c r="I118" s="91"/>
      <c r="J118" s="82">
        <f>J26+J45+J61+J66+J74+J85+J91+J105+J116</f>
        <v>23156305</v>
      </c>
      <c r="K118" s="58">
        <f>K26+K45+K61+K66+K74+K85+K91+K105+K116</f>
        <v>23156305</v>
      </c>
      <c r="L118" s="1104"/>
      <c r="M118" s="1104"/>
      <c r="N118" s="1104"/>
      <c r="O118" s="1104"/>
      <c r="P118" s="1104"/>
      <c r="Q118" s="1104"/>
      <c r="R118" s="1082"/>
      <c r="S118" s="78">
        <f>S26+S45+S61+S66+S74+S85+S91+S105+S116</f>
        <v>0</v>
      </c>
      <c r="T118" s="1104"/>
      <c r="U118" s="1105"/>
      <c r="V118" s="896"/>
    </row>
    <row r="119" spans="2:22" ht="15.75" thickBot="1" x14ac:dyDescent="0.3">
      <c r="B119" s="1072"/>
      <c r="C119" s="267" t="s">
        <v>244</v>
      </c>
      <c r="D119" s="268"/>
      <c r="E119" s="268"/>
      <c r="F119" s="268"/>
      <c r="G119" s="268"/>
      <c r="H119" s="268"/>
      <c r="I119" s="92"/>
      <c r="J119" s="81">
        <f>K119+S119</f>
        <v>23156305</v>
      </c>
      <c r="K119" s="60">
        <f>SUM(L119:Q119)</f>
        <v>23156305</v>
      </c>
      <c r="L119" s="1106">
        <f t="shared" ref="L119:Q119" si="34">L26+L45+L61+L66+L74+L85+L91+L105+L116</f>
        <v>5820000</v>
      </c>
      <c r="M119" s="1107">
        <f t="shared" si="34"/>
        <v>7583566</v>
      </c>
      <c r="N119" s="1107">
        <f t="shared" si="34"/>
        <v>8336272</v>
      </c>
      <c r="O119" s="1107">
        <f t="shared" si="34"/>
        <v>1341467</v>
      </c>
      <c r="P119" s="1107">
        <f t="shared" si="34"/>
        <v>75000</v>
      </c>
      <c r="Q119" s="1107">
        <f t="shared" si="34"/>
        <v>0</v>
      </c>
      <c r="R119" s="1108"/>
      <c r="S119" s="1089">
        <f>SUM(T119:U119)</f>
        <v>0</v>
      </c>
      <c r="T119" s="1106">
        <f>T26+T45+T61+T66+T74+T85+T91+T105+T116</f>
        <v>0</v>
      </c>
      <c r="U119" s="1109">
        <f>U26+U45+U61+U66+U74+U85+U91+U105+U116</f>
        <v>0</v>
      </c>
      <c r="V119" s="896"/>
    </row>
    <row r="120" spans="2:22" x14ac:dyDescent="0.25">
      <c r="B120" s="1072"/>
      <c r="C120" s="707"/>
      <c r="D120" s="707"/>
      <c r="E120" s="707"/>
      <c r="F120" s="707"/>
      <c r="G120" s="707"/>
      <c r="H120" s="707"/>
      <c r="I120" s="708"/>
      <c r="J120" s="814"/>
      <c r="K120" s="709" t="str">
        <f>IF(J119&lt;&gt;('7A - 4%'!F36+'7A - 4%'!F44),"WARNING: Sources on Form 6A(a) do not match Sources on Form 7A(a)","")</f>
        <v/>
      </c>
      <c r="L120" s="40"/>
      <c r="M120" s="40"/>
      <c r="N120" s="40"/>
      <c r="O120" s="40"/>
      <c r="P120" s="40"/>
      <c r="Q120" s="40"/>
      <c r="R120" s="1110"/>
      <c r="S120" s="40"/>
      <c r="T120" s="40"/>
      <c r="U120" s="40"/>
      <c r="V120" s="896"/>
    </row>
    <row r="121" spans="2:22" ht="9" customHeight="1" thickBot="1" x14ac:dyDescent="0.3">
      <c r="B121" s="1092"/>
      <c r="C121" s="1111"/>
      <c r="D121" s="1111"/>
      <c r="E121" s="1111"/>
      <c r="F121" s="1111"/>
      <c r="G121" s="1111"/>
      <c r="H121" s="1111"/>
      <c r="I121" s="1111"/>
      <c r="J121" s="1112" t="s">
        <v>34</v>
      </c>
      <c r="K121" s="1111"/>
      <c r="L121" s="1111"/>
      <c r="M121" s="1111"/>
      <c r="N121" s="1111"/>
      <c r="O121" s="1111"/>
      <c r="P121" s="1111"/>
      <c r="Q121" s="1111"/>
      <c r="R121" s="1111"/>
      <c r="S121" s="1111"/>
      <c r="T121" s="1111"/>
      <c r="U121" s="1111"/>
      <c r="V121" s="1113"/>
    </row>
    <row r="124" spans="2:22" x14ac:dyDescent="0.25">
      <c r="N124" s="1114"/>
    </row>
    <row r="125" spans="2:22" x14ac:dyDescent="0.25">
      <c r="J125" s="2017"/>
    </row>
  </sheetData>
  <sheetProtection password="9F6B" sheet="1" objects="1" scenarios="1" formatCells="0" formatColumns="0" formatRows="0"/>
  <mergeCells count="20">
    <mergeCell ref="E25:G25"/>
    <mergeCell ref="E44:G44"/>
    <mergeCell ref="E60:G60"/>
    <mergeCell ref="E84:G84"/>
    <mergeCell ref="E90:G90"/>
    <mergeCell ref="C11:U11"/>
    <mergeCell ref="S15:U15"/>
    <mergeCell ref="K15:Q15"/>
    <mergeCell ref="J15:J18"/>
    <mergeCell ref="K16:K18"/>
    <mergeCell ref="S16:S18"/>
    <mergeCell ref="Q17:Q18"/>
    <mergeCell ref="T17:T18"/>
    <mergeCell ref="U17:U18"/>
    <mergeCell ref="L17:L18"/>
    <mergeCell ref="M17:M18"/>
    <mergeCell ref="N17:N18"/>
    <mergeCell ref="O17:O18"/>
    <mergeCell ref="P17:P18"/>
    <mergeCell ref="I15:I18"/>
  </mergeCells>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dataValidation allowBlank="1" showInputMessage="1" showErrorMessage="1" promptTitle="Rehab Contingency %" prompt="Defined as Rehab Contingency divided by the sum of Rehab, Contractor Profit, Contractor Overhead, and Bond Premium amounts_x000a__x000a_% =J27 / (J23+J24+J25+J34)" sqref="G35"/>
  </dataValidations>
  <pageMargins left="0.25" right="0.25" top="0.75" bottom="0.75" header="0.3" footer="0.3"/>
  <pageSetup scale="77" fitToHeight="0" orientation="landscape" r:id="rId1"/>
  <headerFooter>
    <oddFooter>&amp;LForm 6A(a)
Development Budgets&amp;CCFA Forms&amp;REdition: 2015
Version: 1.1</oddFooter>
  </headerFooter>
  <rowBreaks count="3" manualBreakCount="3">
    <brk id="46" min="1" max="21" man="1"/>
    <brk id="75" min="1" max="21" man="1"/>
    <brk id="106" min="1" max="21" man="1"/>
  </rowBreaks>
  <drawing r:id="rId2"/>
  <extLst>
    <ext xmlns:x14="http://schemas.microsoft.com/office/spreadsheetml/2009/9/main" uri="{78C0D931-6437-407d-A8EE-F0AAD7539E65}">
      <x14:conditionalFormattings>
        <x14:conditionalFormatting xmlns:xm="http://schemas.microsoft.com/office/excel/2006/main">
          <x14:cfRule type="expression" priority="1" id="{15DA56FC-5292-4F1B-B734-09FB61F469A8}">
            <xm:f>$J$119&lt;&gt;('7A - 4%'!$F$36+'7A - 4%'!$F$44)</xm:f>
            <x14:dxf>
              <font>
                <color rgb="FF800000"/>
              </font>
              <fill>
                <patternFill>
                  <bgColor theme="5" tint="0.79998168889431442"/>
                </patternFill>
              </fill>
            </x14:dxf>
          </x14:cfRule>
          <xm:sqref>J119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104"/>
  <sheetViews>
    <sheetView showGridLines="0" zoomScaleNormal="100" workbookViewId="0">
      <selection activeCell="J32" sqref="J32:K32"/>
    </sheetView>
  </sheetViews>
  <sheetFormatPr defaultRowHeight="15" x14ac:dyDescent="0.25"/>
  <cols>
    <col min="1" max="2" width="1.7109375" style="838" customWidth="1"/>
    <col min="3" max="3" width="2.85546875" style="838" customWidth="1"/>
    <col min="4" max="4" width="5.7109375" style="838" customWidth="1"/>
    <col min="5" max="5" width="8.5703125" style="838" customWidth="1"/>
    <col min="6" max="6" width="12.85546875" style="838" customWidth="1"/>
    <col min="7" max="7" width="10.7109375" style="838" customWidth="1"/>
    <col min="8" max="8" width="1.42578125" style="838" customWidth="1"/>
    <col min="9" max="9" width="12.5703125" style="838" bestFit="1" customWidth="1"/>
    <col min="10" max="10" width="19.28515625" style="838" customWidth="1"/>
    <col min="11" max="11" width="40.7109375" style="838" customWidth="1"/>
    <col min="12" max="12" width="1.7109375" style="838" customWidth="1"/>
    <col min="13" max="16384" width="9.140625" style="838"/>
  </cols>
  <sheetData>
    <row r="5" spans="2:12" ht="15.75" thickBot="1" x14ac:dyDescent="0.3"/>
    <row r="6" spans="2:12" ht="9" customHeight="1" x14ac:dyDescent="0.25">
      <c r="B6" s="1115"/>
      <c r="C6" s="1116"/>
      <c r="D6" s="1116"/>
      <c r="E6" s="1116"/>
      <c r="F6" s="1116"/>
      <c r="G6" s="1116"/>
      <c r="H6" s="1116"/>
      <c r="I6" s="1116"/>
      <c r="J6" s="1116"/>
      <c r="K6" s="1116"/>
      <c r="L6" s="1117"/>
    </row>
    <row r="7" spans="2:12" ht="18.75" x14ac:dyDescent="0.3">
      <c r="B7" s="1118"/>
      <c r="C7" s="2106" t="s">
        <v>1375</v>
      </c>
      <c r="D7" s="2106"/>
      <c r="E7" s="2106"/>
      <c r="F7" s="2106"/>
      <c r="G7" s="2106"/>
      <c r="H7" s="2106"/>
      <c r="I7" s="2106"/>
      <c r="J7" s="2106"/>
      <c r="K7" s="2106"/>
      <c r="L7" s="1119"/>
    </row>
    <row r="8" spans="2:12" x14ac:dyDescent="0.25">
      <c r="B8" s="1118"/>
      <c r="C8" s="1120"/>
      <c r="D8" s="1120"/>
      <c r="E8" s="1120"/>
      <c r="F8" s="1120"/>
      <c r="G8" s="1120"/>
      <c r="H8" s="1120"/>
      <c r="I8" s="1120"/>
      <c r="J8" s="1120"/>
      <c r="K8" s="1120"/>
      <c r="L8" s="1119"/>
    </row>
    <row r="9" spans="2:12" x14ac:dyDescent="0.25">
      <c r="B9" s="1118"/>
      <c r="C9" s="814"/>
      <c r="D9" s="808" t="s">
        <v>59</v>
      </c>
      <c r="E9" s="1121"/>
      <c r="F9" s="1122" t="str">
        <f>IF('1A'!G5="","Enter Project Name on Form 1A",'1A'!G5)</f>
        <v>University District Apartments</v>
      </c>
      <c r="G9" s="1122"/>
      <c r="H9" s="924"/>
      <c r="I9" s="1122"/>
      <c r="J9" s="1122"/>
      <c r="K9" s="1123"/>
      <c r="L9" s="1119"/>
    </row>
    <row r="10" spans="2:12" ht="3.75" customHeight="1" x14ac:dyDescent="0.25">
      <c r="B10" s="1124"/>
      <c r="C10" s="1125"/>
      <c r="D10" s="1125"/>
      <c r="E10" s="1125"/>
      <c r="F10" s="1125"/>
      <c r="G10" s="1125"/>
      <c r="H10" s="1125"/>
      <c r="I10" s="1125"/>
      <c r="J10" s="1125"/>
      <c r="K10" s="1074"/>
      <c r="L10" s="1119"/>
    </row>
    <row r="11" spans="2:12" x14ac:dyDescent="0.25">
      <c r="B11" s="1118"/>
      <c r="C11" s="814"/>
      <c r="D11" s="808" t="s">
        <v>1400</v>
      </c>
      <c r="E11" s="1121"/>
      <c r="F11" s="1822" t="str">
        <f>IF('1A'!G29="","Enter Site Name on Form 1A",'1A'!G29)</f>
        <v>Project A-  4%</v>
      </c>
      <c r="G11" s="1822"/>
      <c r="H11" s="924"/>
      <c r="I11" s="1822"/>
      <c r="J11" s="1822"/>
      <c r="K11" s="1123"/>
      <c r="L11" s="1119"/>
    </row>
    <row r="12" spans="2:12" ht="7.5" customHeight="1" thickBot="1" x14ac:dyDescent="0.3">
      <c r="B12" s="1124"/>
      <c r="C12" s="1125"/>
      <c r="D12" s="1125"/>
      <c r="E12" s="1125"/>
      <c r="F12" s="1125"/>
      <c r="G12" s="1125"/>
      <c r="H12" s="1125"/>
      <c r="I12" s="1125"/>
      <c r="J12" s="1125"/>
      <c r="K12" s="1074"/>
      <c r="L12" s="1119"/>
    </row>
    <row r="13" spans="2:12" x14ac:dyDescent="0.25">
      <c r="B13" s="1124"/>
      <c r="C13" s="133"/>
      <c r="D13" s="133"/>
      <c r="E13" s="133"/>
      <c r="F13" s="133"/>
      <c r="G13" s="133"/>
      <c r="H13" s="133"/>
      <c r="I13" s="2293" t="s">
        <v>164</v>
      </c>
      <c r="J13" s="2294"/>
      <c r="K13" s="2295"/>
      <c r="L13" s="1119"/>
    </row>
    <row r="14" spans="2:12" ht="37.5" customHeight="1" thickBot="1" x14ac:dyDescent="0.3">
      <c r="B14" s="1124"/>
      <c r="C14" s="134"/>
      <c r="D14" s="110"/>
      <c r="E14" s="110"/>
      <c r="F14" s="135"/>
      <c r="G14" s="135"/>
      <c r="H14" s="135"/>
      <c r="I14" s="273" t="s">
        <v>245</v>
      </c>
      <c r="J14" s="2296" t="s">
        <v>246</v>
      </c>
      <c r="K14" s="2297"/>
      <c r="L14" s="1119"/>
    </row>
    <row r="15" spans="2:12" ht="15.75" thickBot="1" x14ac:dyDescent="0.3">
      <c r="B15" s="1124"/>
      <c r="C15" s="125" t="s">
        <v>168</v>
      </c>
      <c r="D15" s="126"/>
      <c r="E15" s="126"/>
      <c r="F15" s="127"/>
      <c r="G15" s="127"/>
      <c r="H15" s="127"/>
      <c r="I15" s="106"/>
      <c r="J15" s="106"/>
      <c r="K15" s="1120"/>
      <c r="L15" s="1119"/>
    </row>
    <row r="16" spans="2:12" ht="21" customHeight="1" x14ac:dyDescent="0.25">
      <c r="B16" s="1124"/>
      <c r="C16" s="1074"/>
      <c r="D16" s="259" t="s">
        <v>169</v>
      </c>
      <c r="E16" s="259"/>
      <c r="F16" s="259"/>
      <c r="G16" s="259"/>
      <c r="H16" s="260"/>
      <c r="I16" s="764">
        <f>'6A - 4%'!K20</f>
        <v>2360055</v>
      </c>
      <c r="J16" s="2298" t="s">
        <v>1625</v>
      </c>
      <c r="K16" s="2299"/>
      <c r="L16" s="1119"/>
    </row>
    <row r="17" spans="2:12" x14ac:dyDescent="0.25">
      <c r="B17" s="1124"/>
      <c r="C17" s="1074"/>
      <c r="D17" s="261" t="s">
        <v>170</v>
      </c>
      <c r="E17" s="261"/>
      <c r="F17" s="261"/>
      <c r="G17" s="261"/>
      <c r="H17" s="262"/>
      <c r="I17" s="107">
        <f>'6A - 4%'!K21</f>
        <v>0</v>
      </c>
      <c r="J17" s="2283"/>
      <c r="K17" s="2284"/>
      <c r="L17" s="1119"/>
    </row>
    <row r="18" spans="2:12" x14ac:dyDescent="0.25">
      <c r="B18" s="1124"/>
      <c r="C18" s="1074"/>
      <c r="D18" s="261" t="s">
        <v>171</v>
      </c>
      <c r="E18" s="261"/>
      <c r="F18" s="261"/>
      <c r="G18" s="261"/>
      <c r="H18" s="262"/>
      <c r="I18" s="107">
        <f>'6A - 4%'!K22</f>
        <v>150454</v>
      </c>
      <c r="J18" s="2283" t="s">
        <v>1657</v>
      </c>
      <c r="K18" s="2284"/>
      <c r="L18" s="1119"/>
    </row>
    <row r="19" spans="2:12" x14ac:dyDescent="0.25">
      <c r="B19" s="1124"/>
      <c r="C19" s="1074"/>
      <c r="D19" s="261" t="s">
        <v>172</v>
      </c>
      <c r="E19" s="261"/>
      <c r="F19" s="261"/>
      <c r="G19" s="261"/>
      <c r="H19" s="262"/>
      <c r="I19" s="107">
        <f>'6A - 4%'!K23</f>
        <v>23601</v>
      </c>
      <c r="J19" s="2283" t="s">
        <v>1628</v>
      </c>
      <c r="K19" s="2284"/>
      <c r="L19" s="1119"/>
    </row>
    <row r="20" spans="2:12" x14ac:dyDescent="0.25">
      <c r="B20" s="1124"/>
      <c r="C20" s="1074"/>
      <c r="D20" s="261" t="s">
        <v>173</v>
      </c>
      <c r="E20" s="261"/>
      <c r="F20" s="261"/>
      <c r="G20" s="261"/>
      <c r="H20" s="262"/>
      <c r="I20" s="107">
        <f>'6A - 4%'!K24</f>
        <v>0</v>
      </c>
      <c r="J20" s="2283"/>
      <c r="K20" s="2284"/>
      <c r="L20" s="1119"/>
    </row>
    <row r="21" spans="2:12" ht="15.75" thickBot="1" x14ac:dyDescent="0.3">
      <c r="B21" s="1124"/>
      <c r="C21" s="1074"/>
      <c r="D21" s="261" t="s">
        <v>247</v>
      </c>
      <c r="E21" s="261"/>
      <c r="F21" s="261"/>
      <c r="G21" s="261"/>
      <c r="H21" s="262"/>
      <c r="I21" s="108">
        <f>'6A - 4%'!K25</f>
        <v>0</v>
      </c>
      <c r="J21" s="2285"/>
      <c r="K21" s="2286"/>
      <c r="L21" s="1119"/>
    </row>
    <row r="22" spans="2:12" ht="3.75" customHeight="1" x14ac:dyDescent="0.25">
      <c r="B22" s="1124"/>
      <c r="C22" s="112"/>
      <c r="D22" s="113"/>
      <c r="E22" s="113"/>
      <c r="F22" s="109"/>
      <c r="G22" s="109"/>
      <c r="H22" s="109"/>
      <c r="I22" s="102"/>
      <c r="J22" s="102"/>
      <c r="K22" s="1120"/>
      <c r="L22" s="1119"/>
    </row>
    <row r="23" spans="2:12" ht="15.75" thickBot="1" x14ac:dyDescent="0.3">
      <c r="B23" s="1124"/>
      <c r="C23" s="125" t="s">
        <v>175</v>
      </c>
      <c r="D23" s="126"/>
      <c r="E23" s="126"/>
      <c r="F23" s="127"/>
      <c r="G23" s="127"/>
      <c r="H23" s="127"/>
      <c r="I23" s="103"/>
      <c r="J23" s="103"/>
      <c r="K23" s="1074"/>
      <c r="L23" s="1119"/>
    </row>
    <row r="24" spans="2:12" x14ac:dyDescent="0.25">
      <c r="B24" s="1124"/>
      <c r="C24" s="1074"/>
      <c r="D24" s="259" t="s">
        <v>176</v>
      </c>
      <c r="E24" s="259"/>
      <c r="F24" s="259"/>
      <c r="G24" s="259"/>
      <c r="H24" s="260"/>
      <c r="I24" s="764">
        <f>'6A - 4%'!K29</f>
        <v>49949</v>
      </c>
      <c r="J24" s="2287" t="s">
        <v>1658</v>
      </c>
      <c r="K24" s="2288"/>
      <c r="L24" s="1119"/>
    </row>
    <row r="25" spans="2:12" x14ac:dyDescent="0.25">
      <c r="B25" s="1124"/>
      <c r="C25" s="1074"/>
      <c r="D25" s="261" t="s">
        <v>177</v>
      </c>
      <c r="E25" s="261"/>
      <c r="F25" s="261"/>
      <c r="G25" s="261"/>
      <c r="H25" s="262"/>
      <c r="I25" s="107">
        <f>'6A - 4%'!K30</f>
        <v>12629323</v>
      </c>
      <c r="J25" s="2283" t="str">
        <f>J24</f>
        <v>Based On Walsh Construction Estimate July 2015 - (includes esclation to April 2016)</v>
      </c>
      <c r="K25" s="2284"/>
      <c r="L25" s="1119"/>
    </row>
    <row r="26" spans="2:12" x14ac:dyDescent="0.25">
      <c r="B26" s="1124"/>
      <c r="C26" s="1074"/>
      <c r="D26" s="261" t="s">
        <v>178</v>
      </c>
      <c r="E26" s="261"/>
      <c r="F26" s="261"/>
      <c r="G26" s="261"/>
      <c r="H26" s="262"/>
      <c r="I26" s="107">
        <f>'6A - 4%'!K31</f>
        <v>0</v>
      </c>
      <c r="J26" s="2283"/>
      <c r="K26" s="2284"/>
      <c r="L26" s="1119"/>
    </row>
    <row r="27" spans="2:12" x14ac:dyDescent="0.25">
      <c r="B27" s="1124"/>
      <c r="C27" s="1074"/>
      <c r="D27" s="261" t="s">
        <v>179</v>
      </c>
      <c r="E27" s="261"/>
      <c r="F27" s="261"/>
      <c r="G27" s="261"/>
      <c r="H27" s="262"/>
      <c r="I27" s="107">
        <f>'6A - 4%'!K32</f>
        <v>0</v>
      </c>
      <c r="J27" s="2283"/>
      <c r="K27" s="2284"/>
      <c r="L27" s="1119"/>
    </row>
    <row r="28" spans="2:12" x14ac:dyDescent="0.25">
      <c r="B28" s="1124"/>
      <c r="C28" s="1074"/>
      <c r="D28" s="261" t="s">
        <v>180</v>
      </c>
      <c r="E28" s="261"/>
      <c r="F28" s="261"/>
      <c r="G28" s="261"/>
      <c r="H28" s="262"/>
      <c r="I28" s="107">
        <f>'6A - 4%'!K33</f>
        <v>0</v>
      </c>
      <c r="J28" s="2283"/>
      <c r="K28" s="2284"/>
      <c r="L28" s="1119"/>
    </row>
    <row r="29" spans="2:12" x14ac:dyDescent="0.25">
      <c r="B29" s="1124"/>
      <c r="C29" s="1074"/>
      <c r="D29" s="261" t="s">
        <v>181</v>
      </c>
      <c r="E29" s="261"/>
      <c r="F29" s="261"/>
      <c r="G29" s="261"/>
      <c r="H29" s="262"/>
      <c r="I29" s="107">
        <f>'6A - 4%'!K34</f>
        <v>705488</v>
      </c>
      <c r="J29" s="2283" t="s">
        <v>1627</v>
      </c>
      <c r="K29" s="2284"/>
      <c r="L29" s="1119"/>
    </row>
    <row r="30" spans="2:12" x14ac:dyDescent="0.25">
      <c r="B30" s="1124"/>
      <c r="C30" s="1074"/>
      <c r="D30" s="261" t="s">
        <v>182</v>
      </c>
      <c r="E30" s="261"/>
      <c r="F30" s="261"/>
      <c r="G30" s="261"/>
      <c r="H30" s="262"/>
      <c r="I30" s="107">
        <f>'6A - 4%'!K35</f>
        <v>0</v>
      </c>
      <c r="J30" s="2283"/>
      <c r="K30" s="2284"/>
      <c r="L30" s="1119"/>
    </row>
    <row r="31" spans="2:12" x14ac:dyDescent="0.25">
      <c r="B31" s="1124"/>
      <c r="C31" s="1074"/>
      <c r="D31" s="261" t="s">
        <v>183</v>
      </c>
      <c r="E31" s="261"/>
      <c r="F31" s="261"/>
      <c r="G31" s="261"/>
      <c r="H31" s="262"/>
      <c r="I31" s="107">
        <f>'6A - 4%'!K36</f>
        <v>0</v>
      </c>
      <c r="J31" s="2283"/>
      <c r="K31" s="2284"/>
      <c r="L31" s="1119"/>
    </row>
    <row r="32" spans="2:12" x14ac:dyDescent="0.25">
      <c r="B32" s="1124"/>
      <c r="C32" s="1074"/>
      <c r="D32" s="261" t="s">
        <v>184</v>
      </c>
      <c r="E32" s="261"/>
      <c r="F32" s="261"/>
      <c r="G32" s="261"/>
      <c r="H32" s="262"/>
      <c r="I32" s="107">
        <f>'6A - 4%'!K37</f>
        <v>73752</v>
      </c>
      <c r="J32" s="2283" t="s">
        <v>1628</v>
      </c>
      <c r="K32" s="2284"/>
      <c r="L32" s="1119"/>
    </row>
    <row r="33" spans="2:12" x14ac:dyDescent="0.25">
      <c r="B33" s="1124"/>
      <c r="C33" s="1074"/>
      <c r="D33" s="261" t="s">
        <v>185</v>
      </c>
      <c r="E33" s="261"/>
      <c r="F33" s="261"/>
      <c r="G33" s="261"/>
      <c r="H33" s="262"/>
      <c r="I33" s="107">
        <f>'6A - 4%'!K38</f>
        <v>0</v>
      </c>
      <c r="J33" s="2283"/>
      <c r="K33" s="2284"/>
      <c r="L33" s="1119"/>
    </row>
    <row r="34" spans="2:12" x14ac:dyDescent="0.25">
      <c r="B34" s="1124"/>
      <c r="C34" s="1074"/>
      <c r="D34" s="261" t="s">
        <v>186</v>
      </c>
      <c r="E34" s="261"/>
      <c r="F34" s="261"/>
      <c r="G34" s="261"/>
      <c r="H34" s="262"/>
      <c r="I34" s="107">
        <f>'6A - 4%'!K39</f>
        <v>0</v>
      </c>
      <c r="J34" s="2283"/>
      <c r="K34" s="2284"/>
      <c r="L34" s="1119"/>
    </row>
    <row r="35" spans="2:12" x14ac:dyDescent="0.25">
      <c r="B35" s="1124"/>
      <c r="C35" s="1074"/>
      <c r="D35" s="261" t="s">
        <v>187</v>
      </c>
      <c r="E35" s="261"/>
      <c r="F35" s="261"/>
      <c r="G35" s="261"/>
      <c r="H35" s="262"/>
      <c r="I35" s="107">
        <f>'6A - 4%'!K40</f>
        <v>0</v>
      </c>
      <c r="J35" s="2283"/>
      <c r="K35" s="2284"/>
      <c r="L35" s="1119"/>
    </row>
    <row r="36" spans="2:12" x14ac:dyDescent="0.25">
      <c r="B36" s="1124"/>
      <c r="C36" s="1074"/>
      <c r="D36" s="261" t="s">
        <v>188</v>
      </c>
      <c r="E36" s="261"/>
      <c r="F36" s="261"/>
      <c r="G36" s="261"/>
      <c r="H36" s="262"/>
      <c r="I36" s="107">
        <f>'6A - 4%'!K41</f>
        <v>1235892</v>
      </c>
      <c r="J36" s="2283" t="s">
        <v>1629</v>
      </c>
      <c r="K36" s="2284"/>
      <c r="L36" s="1119"/>
    </row>
    <row r="37" spans="2:12" x14ac:dyDescent="0.25">
      <c r="B37" s="1124"/>
      <c r="C37" s="1074"/>
      <c r="D37" s="261" t="s">
        <v>189</v>
      </c>
      <c r="E37" s="261"/>
      <c r="F37" s="261"/>
      <c r="G37" s="261"/>
      <c r="H37" s="262"/>
      <c r="I37" s="107">
        <f>'6A - 4%'!K42</f>
        <v>84797</v>
      </c>
      <c r="J37" s="2283" t="str">
        <f>J25</f>
        <v>Based On Walsh Construction Estimate July 2015 - (includes esclation to April 2016)</v>
      </c>
      <c r="K37" s="2284"/>
      <c r="L37" s="1119"/>
    </row>
    <row r="38" spans="2:12" x14ac:dyDescent="0.25">
      <c r="B38" s="1124"/>
      <c r="C38" s="1074"/>
      <c r="D38" s="261" t="s">
        <v>190</v>
      </c>
      <c r="E38" s="261"/>
      <c r="F38" s="261"/>
      <c r="G38" s="261"/>
      <c r="H38" s="262"/>
      <c r="I38" s="107">
        <f>'6A - 4%'!K43</f>
        <v>36053</v>
      </c>
      <c r="J38" s="2283" t="s">
        <v>1628</v>
      </c>
      <c r="K38" s="2284"/>
      <c r="L38" s="1119"/>
    </row>
    <row r="39" spans="2:12" ht="15.75" thickBot="1" x14ac:dyDescent="0.3">
      <c r="B39" s="1124"/>
      <c r="C39" s="1074"/>
      <c r="D39" s="261" t="s">
        <v>248</v>
      </c>
      <c r="E39" s="261"/>
      <c r="F39" s="261"/>
      <c r="G39" s="261"/>
      <c r="H39" s="262"/>
      <c r="I39" s="108">
        <f>'6A - 4%'!K44</f>
        <v>0</v>
      </c>
      <c r="J39" s="2285"/>
      <c r="K39" s="2286"/>
      <c r="L39" s="1119"/>
    </row>
    <row r="40" spans="2:12" ht="3.75" customHeight="1" x14ac:dyDescent="0.25">
      <c r="B40" s="1124"/>
      <c r="C40" s="112"/>
      <c r="D40" s="113"/>
      <c r="E40" s="113"/>
      <c r="F40" s="109"/>
      <c r="G40" s="109"/>
      <c r="H40" s="109"/>
      <c r="I40" s="102"/>
      <c r="J40" s="102"/>
      <c r="K40" s="1120"/>
      <c r="L40" s="1119"/>
    </row>
    <row r="41" spans="2:12" ht="15.75" thickBot="1" x14ac:dyDescent="0.3">
      <c r="B41" s="1124"/>
      <c r="C41" s="125" t="s">
        <v>191</v>
      </c>
      <c r="D41" s="126"/>
      <c r="E41" s="126"/>
      <c r="F41" s="127"/>
      <c r="G41" s="127"/>
      <c r="H41" s="127"/>
      <c r="I41" s="102"/>
      <c r="J41" s="102"/>
      <c r="K41" s="1074"/>
      <c r="L41" s="1119"/>
    </row>
    <row r="42" spans="2:12" x14ac:dyDescent="0.25">
      <c r="B42" s="1124"/>
      <c r="C42" s="1074"/>
      <c r="D42" s="259" t="s">
        <v>192</v>
      </c>
      <c r="E42" s="259"/>
      <c r="F42" s="259"/>
      <c r="G42" s="259"/>
      <c r="H42" s="260"/>
      <c r="I42" s="764">
        <f>'6A - 4%'!K48</f>
        <v>7080</v>
      </c>
      <c r="J42" s="2287" t="s">
        <v>1626</v>
      </c>
      <c r="K42" s="2288"/>
      <c r="L42" s="1119"/>
    </row>
    <row r="43" spans="2:12" x14ac:dyDescent="0.25">
      <c r="B43" s="1124"/>
      <c r="C43" s="1074"/>
      <c r="D43" s="261" t="s">
        <v>193</v>
      </c>
      <c r="E43" s="261"/>
      <c r="F43" s="261"/>
      <c r="G43" s="261"/>
      <c r="H43" s="262"/>
      <c r="I43" s="107">
        <f>'6A - 4%'!K49</f>
        <v>3605</v>
      </c>
      <c r="J43" s="2283" t="s">
        <v>1630</v>
      </c>
      <c r="K43" s="2284"/>
      <c r="L43" s="1119"/>
    </row>
    <row r="44" spans="2:12" ht="21.75" customHeight="1" x14ac:dyDescent="0.25">
      <c r="B44" s="1124"/>
      <c r="C44" s="1074"/>
      <c r="D44" s="261" t="s">
        <v>194</v>
      </c>
      <c r="E44" s="261"/>
      <c r="F44" s="261"/>
      <c r="G44" s="261"/>
      <c r="H44" s="262"/>
      <c r="I44" s="107">
        <f>'6A - 4%'!K50</f>
        <v>740467</v>
      </c>
      <c r="J44" s="2291" t="s">
        <v>1651</v>
      </c>
      <c r="K44" s="2292"/>
      <c r="L44" s="1119"/>
    </row>
    <row r="45" spans="2:12" x14ac:dyDescent="0.25">
      <c r="B45" s="1124"/>
      <c r="C45" s="1074"/>
      <c r="D45" s="261" t="s">
        <v>195</v>
      </c>
      <c r="E45" s="261"/>
      <c r="F45" s="261"/>
      <c r="G45" s="261"/>
      <c r="H45" s="262"/>
      <c r="I45" s="107">
        <f>'6A - 4%'!K51</f>
        <v>0</v>
      </c>
      <c r="J45" s="2283"/>
      <c r="K45" s="2284"/>
      <c r="L45" s="1119"/>
    </row>
    <row r="46" spans="2:12" x14ac:dyDescent="0.25">
      <c r="B46" s="1124"/>
      <c r="C46" s="1074"/>
      <c r="D46" s="261" t="s">
        <v>196</v>
      </c>
      <c r="E46" s="261"/>
      <c r="F46" s="261"/>
      <c r="G46" s="261"/>
      <c r="H46" s="262"/>
      <c r="I46" s="107">
        <f>'6A - 4%'!K52</f>
        <v>4720</v>
      </c>
      <c r="J46" s="2283" t="s">
        <v>1631</v>
      </c>
      <c r="K46" s="2284"/>
      <c r="L46" s="1119"/>
    </row>
    <row r="47" spans="2:12" x14ac:dyDescent="0.25">
      <c r="B47" s="1124"/>
      <c r="C47" s="1074"/>
      <c r="D47" s="261" t="s">
        <v>197</v>
      </c>
      <c r="E47" s="261"/>
      <c r="F47" s="261"/>
      <c r="G47" s="261"/>
      <c r="H47" s="262"/>
      <c r="I47" s="107">
        <f>'6A - 4%'!K53</f>
        <v>15697</v>
      </c>
      <c r="J47" s="2283" t="s">
        <v>1632</v>
      </c>
      <c r="K47" s="2284"/>
      <c r="L47" s="1119"/>
    </row>
    <row r="48" spans="2:12" x14ac:dyDescent="0.25">
      <c r="B48" s="1124"/>
      <c r="C48" s="1074"/>
      <c r="D48" s="261" t="s">
        <v>198</v>
      </c>
      <c r="E48" s="261"/>
      <c r="F48" s="261"/>
      <c r="G48" s="261"/>
      <c r="H48" s="262"/>
      <c r="I48" s="107">
        <f>'6A - 4%'!K54</f>
        <v>22273</v>
      </c>
      <c r="J48" s="2283" t="s">
        <v>1652</v>
      </c>
      <c r="K48" s="2284"/>
      <c r="L48" s="1119"/>
    </row>
    <row r="49" spans="2:12" x14ac:dyDescent="0.25">
      <c r="B49" s="1124"/>
      <c r="C49" s="1074"/>
      <c r="D49" s="261" t="s">
        <v>199</v>
      </c>
      <c r="E49" s="261"/>
      <c r="F49" s="261"/>
      <c r="G49" s="261"/>
      <c r="H49" s="262"/>
      <c r="I49" s="107">
        <f>'6A - 4%'!K55</f>
        <v>106202</v>
      </c>
      <c r="J49" s="2283" t="s">
        <v>1634</v>
      </c>
      <c r="K49" s="2284"/>
      <c r="L49" s="1119"/>
    </row>
    <row r="50" spans="2:12" x14ac:dyDescent="0.25">
      <c r="B50" s="1124"/>
      <c r="C50" s="1074"/>
      <c r="D50" s="261" t="s">
        <v>200</v>
      </c>
      <c r="E50" s="261"/>
      <c r="F50" s="261"/>
      <c r="G50" s="261"/>
      <c r="H50" s="262"/>
      <c r="I50" s="107">
        <f>'6A - 4%'!K56</f>
        <v>2132489</v>
      </c>
      <c r="J50" s="2283" t="s">
        <v>1635</v>
      </c>
      <c r="K50" s="2284"/>
      <c r="L50" s="1119"/>
    </row>
    <row r="51" spans="2:12" ht="23.25" customHeight="1" x14ac:dyDescent="0.25">
      <c r="B51" s="1124"/>
      <c r="C51" s="1074"/>
      <c r="D51" s="261" t="s">
        <v>201</v>
      </c>
      <c r="E51" s="261"/>
      <c r="F51" s="261"/>
      <c r="G51" s="261"/>
      <c r="H51" s="262"/>
      <c r="I51" s="107">
        <f>'6A - 4%'!K57</f>
        <v>141603</v>
      </c>
      <c r="J51" s="2291" t="s">
        <v>1636</v>
      </c>
      <c r="K51" s="2292"/>
      <c r="L51" s="1119"/>
    </row>
    <row r="52" spans="2:12" x14ac:dyDescent="0.25">
      <c r="B52" s="1124"/>
      <c r="C52" s="1074"/>
      <c r="D52" s="261" t="s">
        <v>202</v>
      </c>
      <c r="E52" s="261"/>
      <c r="F52" s="261"/>
      <c r="G52" s="261"/>
      <c r="H52" s="262"/>
      <c r="I52" s="107">
        <f>'6A - 4%'!K58</f>
        <v>43071</v>
      </c>
      <c r="J52" s="2283" t="s">
        <v>1637</v>
      </c>
      <c r="K52" s="2284"/>
      <c r="L52" s="1119"/>
    </row>
    <row r="53" spans="2:12" x14ac:dyDescent="0.25">
      <c r="B53" s="1124"/>
      <c r="C53" s="1126"/>
      <c r="D53" s="159" t="s">
        <v>203</v>
      </c>
      <c r="E53" s="159"/>
      <c r="F53" s="159"/>
      <c r="G53" s="159"/>
      <c r="H53" s="159"/>
      <c r="I53" s="107">
        <f>'6A - 4%'!K59</f>
        <v>66427</v>
      </c>
      <c r="J53" s="2283" t="s">
        <v>1628</v>
      </c>
      <c r="K53" s="2284"/>
      <c r="L53" s="1119"/>
    </row>
    <row r="54" spans="2:12" ht="15.75" thickBot="1" x14ac:dyDescent="0.3">
      <c r="B54" s="1124"/>
      <c r="C54" s="1074"/>
      <c r="D54" s="261" t="s">
        <v>247</v>
      </c>
      <c r="E54" s="261"/>
      <c r="F54" s="261"/>
      <c r="G54" s="261"/>
      <c r="H54" s="262"/>
      <c r="I54" s="108">
        <f>'6A - 4%'!K60</f>
        <v>50151</v>
      </c>
      <c r="J54" s="2285"/>
      <c r="K54" s="2286"/>
      <c r="L54" s="1119"/>
    </row>
    <row r="55" spans="2:12" ht="3.75" customHeight="1" x14ac:dyDescent="0.25">
      <c r="B55" s="1124"/>
      <c r="C55" s="112"/>
      <c r="D55" s="113"/>
      <c r="E55" s="113"/>
      <c r="F55" s="109"/>
      <c r="G55" s="109"/>
      <c r="H55" s="109"/>
      <c r="I55" s="102"/>
      <c r="J55" s="102"/>
      <c r="K55" s="1120"/>
      <c r="L55" s="1119"/>
    </row>
    <row r="56" spans="2:12" ht="15.75" thickBot="1" x14ac:dyDescent="0.3">
      <c r="B56" s="1124"/>
      <c r="C56" s="125" t="s">
        <v>204</v>
      </c>
      <c r="D56" s="126"/>
      <c r="E56" s="126"/>
      <c r="F56" s="127"/>
      <c r="G56" s="127"/>
      <c r="H56" s="127"/>
      <c r="I56" s="102"/>
      <c r="J56" s="102"/>
      <c r="K56" s="1074"/>
      <c r="L56" s="1119"/>
    </row>
    <row r="57" spans="2:12" x14ac:dyDescent="0.25">
      <c r="B57" s="1124"/>
      <c r="C57" s="1074"/>
      <c r="D57" s="259" t="s">
        <v>205</v>
      </c>
      <c r="E57" s="259"/>
      <c r="F57" s="259"/>
      <c r="G57" s="259"/>
      <c r="H57" s="260"/>
      <c r="I57" s="764">
        <f>'6A - 4%'!K64</f>
        <v>0</v>
      </c>
      <c r="J57" s="2287"/>
      <c r="K57" s="2288"/>
      <c r="L57" s="1119"/>
    </row>
    <row r="58" spans="2:12" ht="23.25" customHeight="1" thickBot="1" x14ac:dyDescent="0.3">
      <c r="B58" s="1124"/>
      <c r="C58" s="1074"/>
      <c r="D58" s="261" t="s">
        <v>206</v>
      </c>
      <c r="E58" s="261"/>
      <c r="F58" s="261"/>
      <c r="G58" s="261"/>
      <c r="H58" s="262"/>
      <c r="I58" s="108">
        <f>'6A - 4%'!K65</f>
        <v>59001</v>
      </c>
      <c r="J58" s="2289" t="s">
        <v>1644</v>
      </c>
      <c r="K58" s="2290"/>
      <c r="L58" s="1119"/>
    </row>
    <row r="59" spans="2:12" ht="9" customHeight="1" thickBot="1" x14ac:dyDescent="0.3">
      <c r="B59" s="1127"/>
      <c r="C59" s="122"/>
      <c r="D59" s="123"/>
      <c r="E59" s="123"/>
      <c r="F59" s="122"/>
      <c r="G59" s="122"/>
      <c r="H59" s="122"/>
      <c r="I59" s="104"/>
      <c r="J59" s="104"/>
      <c r="K59" s="1128"/>
      <c r="L59" s="1129"/>
    </row>
    <row r="60" spans="2:12" ht="15.75" thickBot="1" x14ac:dyDescent="0.3">
      <c r="B60" s="1124"/>
      <c r="C60" s="125" t="s">
        <v>207</v>
      </c>
      <c r="D60" s="126"/>
      <c r="E60" s="126"/>
      <c r="F60" s="127"/>
      <c r="G60" s="127"/>
      <c r="H60" s="127"/>
      <c r="I60" s="102"/>
      <c r="J60" s="102"/>
      <c r="K60" s="1074"/>
      <c r="L60" s="1119"/>
    </row>
    <row r="61" spans="2:12" x14ac:dyDescent="0.25">
      <c r="B61" s="1124"/>
      <c r="C61" s="1074"/>
      <c r="D61" s="259" t="s">
        <v>208</v>
      </c>
      <c r="E61" s="259"/>
      <c r="F61" s="259"/>
      <c r="G61" s="259"/>
      <c r="H61" s="260"/>
      <c r="I61" s="764">
        <f>'6A - 4%'!K69</f>
        <v>42000</v>
      </c>
      <c r="J61" s="2287" t="s">
        <v>1626</v>
      </c>
      <c r="K61" s="2288"/>
      <c r="L61" s="1130"/>
    </row>
    <row r="62" spans="2:12" x14ac:dyDescent="0.25">
      <c r="B62" s="1124"/>
      <c r="C62" s="1074"/>
      <c r="D62" s="261" t="s">
        <v>209</v>
      </c>
      <c r="E62" s="261"/>
      <c r="F62" s="261"/>
      <c r="G62" s="261"/>
      <c r="H62" s="262"/>
      <c r="I62" s="107">
        <f>'6A - 4%'!K70</f>
        <v>0</v>
      </c>
      <c r="J62" s="2283"/>
      <c r="K62" s="2284"/>
      <c r="L62" s="1119"/>
    </row>
    <row r="63" spans="2:12" x14ac:dyDescent="0.25">
      <c r="B63" s="1124"/>
      <c r="C63" s="1074"/>
      <c r="D63" s="261" t="s">
        <v>210</v>
      </c>
      <c r="E63" s="261"/>
      <c r="F63" s="261"/>
      <c r="G63" s="261"/>
      <c r="H63" s="262"/>
      <c r="I63" s="107">
        <f>'6A - 4%'!K71</f>
        <v>20000</v>
      </c>
      <c r="J63" s="2283" t="s">
        <v>1626</v>
      </c>
      <c r="K63" s="2284"/>
      <c r="L63" s="1119"/>
    </row>
    <row r="64" spans="2:12" x14ac:dyDescent="0.25">
      <c r="B64" s="1124"/>
      <c r="C64" s="1074"/>
      <c r="D64" s="261" t="s">
        <v>211</v>
      </c>
      <c r="E64" s="261"/>
      <c r="F64" s="261"/>
      <c r="G64" s="261"/>
      <c r="H64" s="262"/>
      <c r="I64" s="107">
        <f>'6A - 4%'!K72</f>
        <v>485000</v>
      </c>
      <c r="J64" s="2283" t="s">
        <v>1661</v>
      </c>
      <c r="K64" s="2284"/>
      <c r="L64" s="1119"/>
    </row>
    <row r="65" spans="2:12" ht="15.75" thickBot="1" x14ac:dyDescent="0.3">
      <c r="B65" s="1124"/>
      <c r="C65" s="1074"/>
      <c r="D65" s="261" t="s">
        <v>212</v>
      </c>
      <c r="E65" s="261"/>
      <c r="F65" s="261"/>
      <c r="G65" s="261"/>
      <c r="H65" s="262"/>
      <c r="I65" s="108">
        <f>'6A - 4%'!K73</f>
        <v>73752</v>
      </c>
      <c r="J65" s="2285" t="s">
        <v>1638</v>
      </c>
      <c r="K65" s="2286"/>
      <c r="L65" s="1119"/>
    </row>
    <row r="66" spans="2:12" ht="4.5" customHeight="1" x14ac:dyDescent="0.25">
      <c r="B66" s="1124"/>
      <c r="C66" s="109"/>
      <c r="D66" s="113"/>
      <c r="E66" s="113"/>
      <c r="F66" s="109"/>
      <c r="G66" s="109"/>
      <c r="H66" s="109"/>
      <c r="I66" s="102"/>
      <c r="J66" s="102"/>
      <c r="K66" s="1120"/>
      <c r="L66" s="1119"/>
    </row>
    <row r="67" spans="2:12" ht="15.75" thickBot="1" x14ac:dyDescent="0.3">
      <c r="B67" s="1124"/>
      <c r="C67" s="125" t="s">
        <v>213</v>
      </c>
      <c r="D67" s="126"/>
      <c r="E67" s="126"/>
      <c r="F67" s="127"/>
      <c r="G67" s="127"/>
      <c r="H67" s="127"/>
      <c r="I67" s="102"/>
      <c r="J67" s="102"/>
      <c r="K67" s="1074"/>
      <c r="L67" s="1119"/>
    </row>
    <row r="68" spans="2:12" x14ac:dyDescent="0.25">
      <c r="B68" s="1124"/>
      <c r="C68" s="1074"/>
      <c r="D68" s="259" t="s">
        <v>214</v>
      </c>
      <c r="E68" s="259"/>
      <c r="F68" s="259"/>
      <c r="G68" s="259"/>
      <c r="H68" s="260"/>
      <c r="I68" s="764">
        <f>'6A - 4%'!K77</f>
        <v>68000</v>
      </c>
      <c r="J68" s="2287" t="s">
        <v>1626</v>
      </c>
      <c r="K68" s="2288"/>
      <c r="L68" s="1119"/>
    </row>
    <row r="69" spans="2:12" x14ac:dyDescent="0.25">
      <c r="B69" s="1124"/>
      <c r="C69" s="1074"/>
      <c r="D69" s="261" t="s">
        <v>215</v>
      </c>
      <c r="E69" s="261"/>
      <c r="F69" s="261"/>
      <c r="G69" s="261"/>
      <c r="H69" s="262"/>
      <c r="I69" s="107">
        <f>'6A - 4%'!K78</f>
        <v>0</v>
      </c>
      <c r="J69" s="2283"/>
      <c r="K69" s="2284"/>
      <c r="L69" s="1119"/>
    </row>
    <row r="70" spans="2:12" x14ac:dyDescent="0.25">
      <c r="B70" s="1124"/>
      <c r="C70" s="1074"/>
      <c r="D70" s="261" t="s">
        <v>216</v>
      </c>
      <c r="E70" s="261"/>
      <c r="F70" s="261"/>
      <c r="G70" s="261"/>
      <c r="H70" s="262"/>
      <c r="I70" s="107">
        <f>'6A - 4%'!K79</f>
        <v>20000</v>
      </c>
      <c r="J70" s="2283" t="s">
        <v>1626</v>
      </c>
      <c r="K70" s="2284"/>
      <c r="L70" s="1119"/>
    </row>
    <row r="71" spans="2:12" x14ac:dyDescent="0.25">
      <c r="B71" s="1124"/>
      <c r="C71" s="1074"/>
      <c r="D71" s="261" t="s">
        <v>217</v>
      </c>
      <c r="E71" s="261"/>
      <c r="F71" s="261"/>
      <c r="G71" s="261"/>
      <c r="H71" s="262"/>
      <c r="I71" s="107">
        <f>'6A - 4%'!K80</f>
        <v>44944</v>
      </c>
      <c r="J71" s="2283" t="s">
        <v>1653</v>
      </c>
      <c r="K71" s="2284"/>
      <c r="L71" s="1119"/>
    </row>
    <row r="72" spans="2:12" x14ac:dyDescent="0.25">
      <c r="B72" s="1124"/>
      <c r="C72" s="1074"/>
      <c r="D72" s="261" t="s">
        <v>218</v>
      </c>
      <c r="E72" s="261"/>
      <c r="F72" s="261"/>
      <c r="G72" s="261"/>
      <c r="H72" s="262"/>
      <c r="I72" s="107">
        <f>'6A - 4%'!K81</f>
        <v>36053</v>
      </c>
      <c r="J72" s="2283" t="s">
        <v>1626</v>
      </c>
      <c r="K72" s="2284"/>
      <c r="L72" s="1119"/>
    </row>
    <row r="73" spans="2:12" x14ac:dyDescent="0.25">
      <c r="B73" s="1124"/>
      <c r="C73" s="1074"/>
      <c r="D73" s="261" t="s">
        <v>219</v>
      </c>
      <c r="E73" s="261"/>
      <c r="F73" s="261"/>
      <c r="G73" s="261"/>
      <c r="H73" s="262"/>
      <c r="I73" s="107">
        <f>'6A - 4%'!K82</f>
        <v>0</v>
      </c>
      <c r="J73" s="2283"/>
      <c r="K73" s="2284"/>
      <c r="L73" s="1119"/>
    </row>
    <row r="74" spans="2:12" x14ac:dyDescent="0.25">
      <c r="B74" s="1124"/>
      <c r="C74" s="1074"/>
      <c r="D74" s="261" t="s">
        <v>220</v>
      </c>
      <c r="E74" s="261"/>
      <c r="F74" s="261"/>
      <c r="G74" s="261"/>
      <c r="H74" s="262"/>
      <c r="I74" s="107">
        <f>'6A - 4%'!K83</f>
        <v>0</v>
      </c>
      <c r="J74" s="2283"/>
      <c r="K74" s="2284"/>
      <c r="L74" s="1119"/>
    </row>
    <row r="75" spans="2:12" ht="15.75" thickBot="1" x14ac:dyDescent="0.3">
      <c r="B75" s="1124"/>
      <c r="C75" s="1074"/>
      <c r="D75" s="261" t="s">
        <v>247</v>
      </c>
      <c r="E75" s="261"/>
      <c r="F75" s="261"/>
      <c r="G75" s="261"/>
      <c r="H75" s="262"/>
      <c r="I75" s="108">
        <f>'6A - 4%'!K84</f>
        <v>33235</v>
      </c>
      <c r="J75" s="2285" t="s">
        <v>1643</v>
      </c>
      <c r="K75" s="2286"/>
      <c r="L75" s="1119"/>
    </row>
    <row r="76" spans="2:12" ht="3.75" customHeight="1" x14ac:dyDescent="0.25">
      <c r="B76" s="1124"/>
      <c r="C76" s="112"/>
      <c r="D76" s="113"/>
      <c r="E76" s="113"/>
      <c r="F76" s="109"/>
      <c r="G76" s="109"/>
      <c r="H76" s="109"/>
      <c r="I76" s="102"/>
      <c r="J76" s="102"/>
      <c r="K76" s="1120"/>
      <c r="L76" s="1119"/>
    </row>
    <row r="77" spans="2:12" ht="15.75" thickBot="1" x14ac:dyDescent="0.3">
      <c r="B77" s="1124"/>
      <c r="C77" s="125" t="s">
        <v>221</v>
      </c>
      <c r="D77" s="126"/>
      <c r="E77" s="126"/>
      <c r="F77" s="127"/>
      <c r="G77" s="127"/>
      <c r="H77" s="127"/>
      <c r="I77" s="105"/>
      <c r="J77" s="272"/>
      <c r="K77" s="897"/>
      <c r="L77" s="1119"/>
    </row>
    <row r="78" spans="2:12" x14ac:dyDescent="0.25">
      <c r="B78" s="1124"/>
      <c r="C78" s="1074"/>
      <c r="D78" s="259" t="s">
        <v>222</v>
      </c>
      <c r="E78" s="259"/>
      <c r="F78" s="259"/>
      <c r="G78" s="259"/>
      <c r="H78" s="260"/>
      <c r="I78" s="764">
        <f>'6A - 4%'!K88</f>
        <v>445000</v>
      </c>
      <c r="J78" s="2287" t="s">
        <v>1623</v>
      </c>
      <c r="K78" s="2288"/>
      <c r="L78" s="1119"/>
    </row>
    <row r="79" spans="2:12" x14ac:dyDescent="0.25">
      <c r="B79" s="1124"/>
      <c r="C79" s="1074"/>
      <c r="D79" s="261" t="s">
        <v>223</v>
      </c>
      <c r="E79" s="261"/>
      <c r="F79" s="261"/>
      <c r="G79" s="261"/>
      <c r="H79" s="262"/>
      <c r="I79" s="107">
        <f>'6A - 4%'!K89</f>
        <v>28000</v>
      </c>
      <c r="J79" s="2283" t="s">
        <v>1624</v>
      </c>
      <c r="K79" s="2284"/>
      <c r="L79" s="1119"/>
    </row>
    <row r="80" spans="2:12" ht="15.75" thickBot="1" x14ac:dyDescent="0.3">
      <c r="B80" s="1124"/>
      <c r="C80" s="1074"/>
      <c r="D80" s="261" t="s">
        <v>249</v>
      </c>
      <c r="E80" s="261"/>
      <c r="F80" s="261"/>
      <c r="G80" s="261"/>
      <c r="H80" s="262"/>
      <c r="I80" s="108">
        <f>'6A - 4%'!K90</f>
        <v>0</v>
      </c>
      <c r="J80" s="2285"/>
      <c r="K80" s="2286"/>
      <c r="L80" s="1119"/>
    </row>
    <row r="81" spans="2:12" ht="3.75" customHeight="1" x14ac:dyDescent="0.25">
      <c r="B81" s="1124"/>
      <c r="C81" s="112"/>
      <c r="D81" s="113"/>
      <c r="E81" s="113"/>
      <c r="F81" s="109"/>
      <c r="G81" s="109"/>
      <c r="H81" s="109"/>
      <c r="I81" s="102"/>
      <c r="J81" s="102"/>
      <c r="K81" s="1120"/>
      <c r="L81" s="1119"/>
    </row>
    <row r="82" spans="2:12" ht="15.75" thickBot="1" x14ac:dyDescent="0.3">
      <c r="B82" s="1124"/>
      <c r="C82" s="125" t="s">
        <v>224</v>
      </c>
      <c r="D82" s="126"/>
      <c r="E82" s="126"/>
      <c r="F82" s="127"/>
      <c r="G82" s="127"/>
      <c r="H82" s="127"/>
      <c r="I82" s="105"/>
      <c r="J82" s="272"/>
      <c r="K82" s="897"/>
      <c r="L82" s="1119"/>
    </row>
    <row r="83" spans="2:12" x14ac:dyDescent="0.25">
      <c r="B83" s="1124"/>
      <c r="C83" s="1074"/>
      <c r="D83" s="259" t="s">
        <v>225</v>
      </c>
      <c r="E83" s="259"/>
      <c r="F83" s="259"/>
      <c r="G83" s="259"/>
      <c r="H83" s="260"/>
      <c r="I83" s="764">
        <f>'6A - 4%'!K94</f>
        <v>0</v>
      </c>
      <c r="J83" s="2287"/>
      <c r="K83" s="2288"/>
      <c r="L83" s="1119"/>
    </row>
    <row r="84" spans="2:12" x14ac:dyDescent="0.25">
      <c r="B84" s="1124"/>
      <c r="C84" s="1074"/>
      <c r="D84" s="261" t="s">
        <v>226</v>
      </c>
      <c r="E84" s="261"/>
      <c r="F84" s="261"/>
      <c r="G84" s="261"/>
      <c r="H84" s="262"/>
      <c r="I84" s="107">
        <f>'6A - 4%'!K95</f>
        <v>45726</v>
      </c>
      <c r="J84" s="2283" t="s">
        <v>1639</v>
      </c>
      <c r="K84" s="2284"/>
      <c r="L84" s="1119"/>
    </row>
    <row r="85" spans="2:12" x14ac:dyDescent="0.25">
      <c r="B85" s="1124"/>
      <c r="C85" s="1074"/>
      <c r="D85" s="261" t="s">
        <v>118</v>
      </c>
      <c r="E85" s="261"/>
      <c r="F85" s="261"/>
      <c r="G85" s="261"/>
      <c r="H85" s="262"/>
      <c r="I85" s="107">
        <f>'6A - 4%'!K96</f>
        <v>118003</v>
      </c>
      <c r="J85" s="2283" t="s">
        <v>1650</v>
      </c>
      <c r="K85" s="2284"/>
      <c r="L85" s="1119"/>
    </row>
    <row r="86" spans="2:12" x14ac:dyDescent="0.25">
      <c r="B86" s="1124"/>
      <c r="C86" s="1074"/>
      <c r="D86" s="261" t="s">
        <v>227</v>
      </c>
      <c r="E86" s="261"/>
      <c r="F86" s="261"/>
      <c r="G86" s="261"/>
      <c r="H86" s="262"/>
      <c r="I86" s="107">
        <f>'6A - 4%'!K97</f>
        <v>0</v>
      </c>
      <c r="J86" s="2283"/>
      <c r="K86" s="2284"/>
      <c r="L86" s="1119"/>
    </row>
    <row r="87" spans="2:12" x14ac:dyDescent="0.25">
      <c r="B87" s="1124"/>
      <c r="C87" s="1074"/>
      <c r="D87" s="261" t="s">
        <v>228</v>
      </c>
      <c r="E87" s="261"/>
      <c r="F87" s="261"/>
      <c r="G87" s="261"/>
      <c r="H87" s="262"/>
      <c r="I87" s="107">
        <f>'6A - 4%'!K98</f>
        <v>848731</v>
      </c>
      <c r="J87" s="2283" t="s">
        <v>1640</v>
      </c>
      <c r="K87" s="2284"/>
      <c r="L87" s="1119"/>
    </row>
    <row r="88" spans="2:12" x14ac:dyDescent="0.25">
      <c r="B88" s="1124"/>
      <c r="C88" s="1074"/>
      <c r="D88" s="261" t="s">
        <v>229</v>
      </c>
      <c r="E88" s="261"/>
      <c r="F88" s="261"/>
      <c r="G88" s="261"/>
      <c r="H88" s="262"/>
      <c r="I88" s="107">
        <f>'6A - 4%'!K99</f>
        <v>0</v>
      </c>
      <c r="J88" s="2283"/>
      <c r="K88" s="2284"/>
      <c r="L88" s="1119"/>
    </row>
    <row r="89" spans="2:12" x14ac:dyDescent="0.25">
      <c r="B89" s="1124"/>
      <c r="C89" s="1074"/>
      <c r="D89" s="261" t="s">
        <v>230</v>
      </c>
      <c r="E89" s="261"/>
      <c r="F89" s="261"/>
      <c r="G89" s="261"/>
      <c r="H89" s="262"/>
      <c r="I89" s="107">
        <f>'6A - 4%'!K100</f>
        <v>0</v>
      </c>
      <c r="J89" s="2283"/>
      <c r="K89" s="2284"/>
      <c r="L89" s="1119"/>
    </row>
    <row r="90" spans="2:12" x14ac:dyDescent="0.25">
      <c r="B90" s="1124"/>
      <c r="C90" s="1074"/>
      <c r="D90" s="261" t="s">
        <v>231</v>
      </c>
      <c r="E90" s="261"/>
      <c r="F90" s="261"/>
      <c r="G90" s="261"/>
      <c r="H90" s="262"/>
      <c r="I90" s="107">
        <f>'6A - 4%'!K101</f>
        <v>0</v>
      </c>
      <c r="J90" s="2283"/>
      <c r="K90" s="2284"/>
      <c r="L90" s="1119"/>
    </row>
    <row r="91" spans="2:12" x14ac:dyDescent="0.25">
      <c r="B91" s="1124"/>
      <c r="C91" s="1074"/>
      <c r="D91" s="261" t="s">
        <v>232</v>
      </c>
      <c r="E91" s="261"/>
      <c r="F91" s="261"/>
      <c r="G91" s="261"/>
      <c r="H91" s="262"/>
      <c r="I91" s="107">
        <f>'6A - 4%'!K102</f>
        <v>7080</v>
      </c>
      <c r="J91" s="2283" t="s">
        <v>1641</v>
      </c>
      <c r="K91" s="2284"/>
      <c r="L91" s="1119"/>
    </row>
    <row r="92" spans="2:12" x14ac:dyDescent="0.25">
      <c r="B92" s="1124"/>
      <c r="C92" s="1074"/>
      <c r="D92" s="261" t="s">
        <v>233</v>
      </c>
      <c r="E92" s="261"/>
      <c r="F92" s="261"/>
      <c r="G92" s="261"/>
      <c r="H92" s="262"/>
      <c r="I92" s="107">
        <f>'6A - 4%'!K103</f>
        <v>8631</v>
      </c>
      <c r="J92" s="2283" t="s">
        <v>1642</v>
      </c>
      <c r="K92" s="2284"/>
      <c r="L92" s="1119"/>
    </row>
    <row r="93" spans="2:12" ht="15.75" thickBot="1" x14ac:dyDescent="0.3">
      <c r="B93" s="1124"/>
      <c r="C93" s="1074"/>
      <c r="D93" s="261" t="s">
        <v>234</v>
      </c>
      <c r="E93" s="261"/>
      <c r="F93" s="261"/>
      <c r="G93" s="261"/>
      <c r="H93" s="262"/>
      <c r="I93" s="108">
        <f>'6A - 4%'!K104</f>
        <v>0</v>
      </c>
      <c r="J93" s="2285"/>
      <c r="K93" s="2286"/>
      <c r="L93" s="1119"/>
    </row>
    <row r="94" spans="2:12" ht="3.75" customHeight="1" x14ac:dyDescent="0.25">
      <c r="B94" s="1124"/>
      <c r="C94" s="112"/>
      <c r="D94" s="113"/>
      <c r="E94" s="113"/>
      <c r="F94" s="109"/>
      <c r="G94" s="109"/>
      <c r="H94" s="109"/>
      <c r="I94" s="102"/>
      <c r="J94" s="102"/>
      <c r="K94" s="897"/>
      <c r="L94" s="1119"/>
    </row>
    <row r="95" spans="2:12" ht="15.75" thickBot="1" x14ac:dyDescent="0.3">
      <c r="B95" s="1124"/>
      <c r="C95" s="125" t="s">
        <v>235</v>
      </c>
      <c r="D95" s="126"/>
      <c r="E95" s="126"/>
      <c r="F95" s="127"/>
      <c r="G95" s="127"/>
      <c r="H95" s="127"/>
      <c r="I95" s="102"/>
      <c r="J95" s="102"/>
      <c r="K95" s="1125"/>
      <c r="L95" s="1131"/>
    </row>
    <row r="96" spans="2:12" x14ac:dyDescent="0.25">
      <c r="B96" s="1124"/>
      <c r="C96" s="1132"/>
      <c r="D96" s="259" t="s">
        <v>236</v>
      </c>
      <c r="E96" s="259"/>
      <c r="F96" s="259"/>
      <c r="G96" s="259"/>
      <c r="H96" s="260"/>
      <c r="I96" s="764">
        <f>'6A - 4%'!K109</f>
        <v>50000</v>
      </c>
      <c r="J96" s="2287" t="s">
        <v>1626</v>
      </c>
      <c r="K96" s="2288"/>
      <c r="L96" s="1131"/>
    </row>
    <row r="97" spans="2:12" x14ac:dyDescent="0.25">
      <c r="B97" s="1124"/>
      <c r="C97" s="1132"/>
      <c r="D97" s="261" t="s">
        <v>237</v>
      </c>
      <c r="E97" s="261"/>
      <c r="F97" s="261"/>
      <c r="G97" s="261"/>
      <c r="H97" s="262"/>
      <c r="I97" s="107">
        <f>'6A - 4%'!K110</f>
        <v>40000</v>
      </c>
      <c r="J97" s="2283" t="s">
        <v>1626</v>
      </c>
      <c r="K97" s="2284"/>
      <c r="L97" s="1131"/>
    </row>
    <row r="98" spans="2:12" x14ac:dyDescent="0.25">
      <c r="B98" s="1124"/>
      <c r="C98" s="1074"/>
      <c r="D98" s="261" t="s">
        <v>238</v>
      </c>
      <c r="E98" s="261"/>
      <c r="F98" s="261"/>
      <c r="G98" s="261"/>
      <c r="H98" s="262"/>
      <c r="I98" s="107">
        <f>'6A - 4%'!K111</f>
        <v>0</v>
      </c>
      <c r="J98" s="2283"/>
      <c r="K98" s="2284"/>
      <c r="L98" s="1119"/>
    </row>
    <row r="99" spans="2:12" x14ac:dyDescent="0.25">
      <c r="B99" s="1124"/>
      <c r="C99" s="1074"/>
      <c r="D99" s="261" t="s">
        <v>239</v>
      </c>
      <c r="E99" s="261"/>
      <c r="F99" s="261"/>
      <c r="G99" s="261"/>
      <c r="H99" s="262"/>
      <c r="I99" s="107">
        <f>'6A - 4%'!K112</f>
        <v>0</v>
      </c>
      <c r="J99" s="2283"/>
      <c r="K99" s="2284"/>
      <c r="L99" s="1119"/>
    </row>
    <row r="100" spans="2:12" x14ac:dyDescent="0.25">
      <c r="B100" s="1124"/>
      <c r="C100" s="1074"/>
      <c r="D100" s="261" t="s">
        <v>240</v>
      </c>
      <c r="E100" s="261"/>
      <c r="F100" s="261"/>
      <c r="G100" s="261"/>
      <c r="H100" s="262"/>
      <c r="I100" s="107">
        <f>'6A - 4%'!K113</f>
        <v>0</v>
      </c>
      <c r="J100" s="2283"/>
      <c r="K100" s="2284"/>
      <c r="L100" s="1119"/>
    </row>
    <row r="101" spans="2:12" x14ac:dyDescent="0.25">
      <c r="B101" s="1124"/>
      <c r="C101" s="1074"/>
      <c r="D101" s="261" t="s">
        <v>241</v>
      </c>
      <c r="E101" s="261"/>
      <c r="F101" s="261"/>
      <c r="G101" s="261"/>
      <c r="H101" s="262"/>
      <c r="I101" s="107">
        <f>'6A - 4%'!K114</f>
        <v>0</v>
      </c>
      <c r="J101" s="2283"/>
      <c r="K101" s="2284"/>
      <c r="L101" s="1119"/>
    </row>
    <row r="102" spans="2:12" ht="15.75" thickBot="1" x14ac:dyDescent="0.3">
      <c r="B102" s="1124"/>
      <c r="C102" s="1074"/>
      <c r="D102" s="261" t="s">
        <v>242</v>
      </c>
      <c r="E102" s="261"/>
      <c r="F102" s="261"/>
      <c r="G102" s="261"/>
      <c r="H102" s="262"/>
      <c r="I102" s="108">
        <f>'6A - 4%'!K115</f>
        <v>0</v>
      </c>
      <c r="J102" s="2285"/>
      <c r="K102" s="2286"/>
      <c r="L102" s="1119"/>
    </row>
    <row r="103" spans="2:12" ht="15.75" thickBot="1" x14ac:dyDescent="0.3">
      <c r="B103" s="1127"/>
      <c r="C103" s="100"/>
      <c r="D103" s="1133"/>
      <c r="E103" s="1133"/>
      <c r="F103" s="100"/>
      <c r="G103" s="100"/>
      <c r="H103" s="100"/>
      <c r="I103" s="101"/>
      <c r="J103" s="101"/>
      <c r="K103" s="1128"/>
      <c r="L103" s="1129"/>
    </row>
    <row r="104" spans="2:12" x14ac:dyDescent="0.25">
      <c r="I104" s="1114"/>
    </row>
  </sheetData>
  <sheetProtection password="9F6B" sheet="1" objects="1" scenarios="1" formatCells="0" formatColumns="0" formatRows="0"/>
  <mergeCells count="74">
    <mergeCell ref="I13:K13"/>
    <mergeCell ref="J14:K14"/>
    <mergeCell ref="J16:K16"/>
    <mergeCell ref="J17:K17"/>
    <mergeCell ref="J18:K18"/>
    <mergeCell ref="J19:K19"/>
    <mergeCell ref="J20:K20"/>
    <mergeCell ref="J21:K21"/>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2:K42"/>
    <mergeCell ref="J43:K43"/>
    <mergeCell ref="J44:K44"/>
    <mergeCell ref="J45:K45"/>
    <mergeCell ref="J46:K46"/>
    <mergeCell ref="J47:K47"/>
    <mergeCell ref="J48:K48"/>
    <mergeCell ref="J49:K49"/>
    <mergeCell ref="J50:K50"/>
    <mergeCell ref="J51:K51"/>
    <mergeCell ref="J52:K52"/>
    <mergeCell ref="J53:K53"/>
    <mergeCell ref="J54:K54"/>
    <mergeCell ref="J57:K57"/>
    <mergeCell ref="J58:K58"/>
    <mergeCell ref="J61:K61"/>
    <mergeCell ref="J62:K62"/>
    <mergeCell ref="J63:K63"/>
    <mergeCell ref="J64:K64"/>
    <mergeCell ref="J65:K65"/>
    <mergeCell ref="J68:K68"/>
    <mergeCell ref="J69:K69"/>
    <mergeCell ref="J70:K70"/>
    <mergeCell ref="J71:K71"/>
    <mergeCell ref="J72:K72"/>
    <mergeCell ref="J73:K73"/>
    <mergeCell ref="J74:K74"/>
    <mergeCell ref="J87:K87"/>
    <mergeCell ref="J88:K88"/>
    <mergeCell ref="J75:K75"/>
    <mergeCell ref="J78:K78"/>
    <mergeCell ref="J79:K79"/>
    <mergeCell ref="J80:K80"/>
    <mergeCell ref="J83:K83"/>
    <mergeCell ref="J101:K101"/>
    <mergeCell ref="J102:K102"/>
    <mergeCell ref="C7:K7"/>
    <mergeCell ref="J96:K96"/>
    <mergeCell ref="J97:K97"/>
    <mergeCell ref="J98:K98"/>
    <mergeCell ref="J99:K99"/>
    <mergeCell ref="J100:K100"/>
    <mergeCell ref="J89:K89"/>
    <mergeCell ref="J90:K90"/>
    <mergeCell ref="J91:K91"/>
    <mergeCell ref="J92:K92"/>
    <mergeCell ref="J93:K93"/>
    <mergeCell ref="J84:K84"/>
    <mergeCell ref="J85:K85"/>
    <mergeCell ref="J86:K86"/>
  </mergeCells>
  <pageMargins left="0.25" right="0.25" top="0.75" bottom="0.75" header="0.3" footer="0.3"/>
  <pageSetup scale="86" fitToHeight="0" orientation="portrait" r:id="rId1"/>
  <headerFooter>
    <oddFooter>&amp;LForm 6B(a)
Development Budget Details&amp;CCFA Forms&amp;REdition: 2015
Version: 1.1</oddFooter>
  </headerFooter>
  <rowBreaks count="1" manualBreakCount="1">
    <brk id="59" min="1"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5"/>
  <sheetViews>
    <sheetView showGridLines="0" zoomScaleNormal="100" workbookViewId="0">
      <selection activeCell="K106" sqref="K106"/>
    </sheetView>
  </sheetViews>
  <sheetFormatPr defaultRowHeight="15" x14ac:dyDescent="0.25"/>
  <cols>
    <col min="1" max="2" width="1.7109375" style="838" customWidth="1"/>
    <col min="3" max="3" width="2.85546875" style="838" customWidth="1"/>
    <col min="4" max="4" width="5.7109375" style="838" customWidth="1"/>
    <col min="5" max="5" width="8.5703125" style="838" customWidth="1"/>
    <col min="6" max="6" width="12.85546875" style="838" customWidth="1"/>
    <col min="7" max="7" width="10.7109375" style="838" customWidth="1"/>
    <col min="8" max="8" width="0.7109375" style="838" customWidth="1"/>
    <col min="9" max="9" width="13.42578125" style="838" customWidth="1"/>
    <col min="10" max="10" width="11.42578125" style="838" customWidth="1"/>
    <col min="11" max="11" width="12.140625" style="838" customWidth="1"/>
    <col min="12" max="12" width="1.7109375" style="838" customWidth="1"/>
    <col min="13" max="16384" width="9.140625" style="838"/>
  </cols>
  <sheetData>
    <row r="9" spans="2:12" ht="15.75" thickBot="1" x14ac:dyDescent="0.3"/>
    <row r="10" spans="2:12" x14ac:dyDescent="0.25">
      <c r="B10" s="1134"/>
      <c r="C10" s="1135"/>
      <c r="D10" s="1135"/>
      <c r="E10" s="1135"/>
      <c r="F10" s="1135"/>
      <c r="G10" s="1135"/>
      <c r="H10" s="1135"/>
      <c r="I10" s="1135"/>
      <c r="J10" s="1135"/>
      <c r="K10" s="1135"/>
      <c r="L10" s="1136"/>
    </row>
    <row r="11" spans="2:12" ht="18.75" x14ac:dyDescent="0.3">
      <c r="B11" s="1137"/>
      <c r="C11" s="2127" t="s">
        <v>1376</v>
      </c>
      <c r="D11" s="2127"/>
      <c r="E11" s="2127"/>
      <c r="F11" s="2127"/>
      <c r="G11" s="2127"/>
      <c r="H11" s="2127"/>
      <c r="I11" s="2127"/>
      <c r="J11" s="2127"/>
      <c r="K11" s="2127"/>
      <c r="L11" s="1138"/>
    </row>
    <row r="12" spans="2:12" x14ac:dyDescent="0.25">
      <c r="B12" s="1137"/>
      <c r="C12" s="897"/>
      <c r="D12" s="897"/>
      <c r="E12" s="897"/>
      <c r="F12" s="897"/>
      <c r="G12" s="897"/>
      <c r="H12" s="897"/>
      <c r="I12" s="897"/>
      <c r="J12" s="897"/>
      <c r="K12" s="897"/>
      <c r="L12" s="1138"/>
    </row>
    <row r="13" spans="2:12" x14ac:dyDescent="0.25">
      <c r="B13" s="1137"/>
      <c r="C13" s="814"/>
      <c r="D13" s="257" t="s">
        <v>59</v>
      </c>
      <c r="E13" s="1121"/>
      <c r="F13" s="2149" t="str">
        <f>IF('1A'!G5="","Enter Project Name on Form 1A",'1A'!G5)</f>
        <v>University District Apartments</v>
      </c>
      <c r="G13" s="2149"/>
      <c r="H13" s="2149"/>
      <c r="I13" s="2149"/>
      <c r="J13" s="2149"/>
      <c r="K13" s="2149"/>
      <c r="L13" s="1138"/>
    </row>
    <row r="14" spans="2:12" ht="3.75" customHeight="1" x14ac:dyDescent="0.25">
      <c r="B14" s="246"/>
      <c r="C14" s="897"/>
      <c r="D14" s="128"/>
      <c r="E14" s="128"/>
      <c r="F14" s="128"/>
      <c r="G14" s="128"/>
      <c r="H14" s="128"/>
      <c r="I14" s="128"/>
      <c r="J14" s="128"/>
      <c r="K14" s="897"/>
      <c r="L14" s="1138"/>
    </row>
    <row r="15" spans="2:12" x14ac:dyDescent="0.25">
      <c r="B15" s="1137"/>
      <c r="C15" s="814"/>
      <c r="D15" s="257" t="s">
        <v>1400</v>
      </c>
      <c r="E15" s="1121"/>
      <c r="F15" s="2149" t="str">
        <f>IF('1A'!G7="","Enter Project Name on Form 1A",'1A'!G7)</f>
        <v>Enter Project Name on Form 1A</v>
      </c>
      <c r="G15" s="2149"/>
      <c r="H15" s="2149"/>
      <c r="I15" s="2149"/>
      <c r="J15" s="2149"/>
      <c r="K15" s="2149"/>
      <c r="L15" s="1138"/>
    </row>
    <row r="16" spans="2:12" ht="7.5" customHeight="1" thickBot="1" x14ac:dyDescent="0.3">
      <c r="B16" s="246"/>
      <c r="C16" s="897"/>
      <c r="D16" s="128"/>
      <c r="E16" s="128"/>
      <c r="F16" s="128"/>
      <c r="G16" s="128"/>
      <c r="H16" s="128"/>
      <c r="I16" s="128"/>
      <c r="J16" s="128"/>
      <c r="K16" s="897"/>
      <c r="L16" s="1138"/>
    </row>
    <row r="17" spans="2:12" x14ac:dyDescent="0.25">
      <c r="B17" s="246"/>
      <c r="C17" s="133"/>
      <c r="D17" s="133"/>
      <c r="E17" s="133"/>
      <c r="F17" s="133"/>
      <c r="G17" s="133"/>
      <c r="H17" s="133"/>
      <c r="I17" s="2269" t="s">
        <v>164</v>
      </c>
      <c r="J17" s="2270"/>
      <c r="K17" s="2300"/>
      <c r="L17" s="1138"/>
    </row>
    <row r="18" spans="2:12" x14ac:dyDescent="0.25">
      <c r="B18" s="246"/>
      <c r="C18" s="133"/>
      <c r="D18" s="133"/>
      <c r="E18" s="133"/>
      <c r="F18" s="133"/>
      <c r="G18" s="133"/>
      <c r="H18" s="133"/>
      <c r="I18" s="2315" t="s">
        <v>250</v>
      </c>
      <c r="J18" s="2310" t="s">
        <v>251</v>
      </c>
      <c r="K18" s="2311"/>
      <c r="L18" s="1138"/>
    </row>
    <row r="19" spans="2:12" ht="15" customHeight="1" x14ac:dyDescent="0.25">
      <c r="B19" s="246"/>
      <c r="C19" s="134"/>
      <c r="D19" s="110"/>
      <c r="E19" s="110"/>
      <c r="F19" s="135"/>
      <c r="G19" s="135"/>
      <c r="H19" s="135"/>
      <c r="I19" s="2315"/>
      <c r="J19" s="2312" t="s">
        <v>23</v>
      </c>
      <c r="K19" s="2317" t="s">
        <v>649</v>
      </c>
      <c r="L19" s="1138"/>
    </row>
    <row r="20" spans="2:12" x14ac:dyDescent="0.25">
      <c r="B20" s="246"/>
      <c r="C20" s="110"/>
      <c r="D20" s="136"/>
      <c r="E20" s="136"/>
      <c r="F20" s="137"/>
      <c r="G20" s="137"/>
      <c r="H20" s="137"/>
      <c r="I20" s="2315"/>
      <c r="J20" s="2313"/>
      <c r="K20" s="2318"/>
      <c r="L20" s="1138"/>
    </row>
    <row r="21" spans="2:12" ht="15.75" thickBot="1" x14ac:dyDescent="0.3">
      <c r="B21" s="246"/>
      <c r="C21" s="110"/>
      <c r="D21" s="136"/>
      <c r="E21" s="136"/>
      <c r="F21" s="137"/>
      <c r="G21" s="137"/>
      <c r="H21" s="137"/>
      <c r="I21" s="2316"/>
      <c r="J21" s="2314"/>
      <c r="K21" s="2319"/>
      <c r="L21" s="1138"/>
    </row>
    <row r="22" spans="2:12" ht="15.75" thickBot="1" x14ac:dyDescent="0.3">
      <c r="B22" s="246"/>
      <c r="C22" s="125" t="s">
        <v>168</v>
      </c>
      <c r="D22" s="126"/>
      <c r="E22" s="126"/>
      <c r="F22" s="127"/>
      <c r="G22" s="127"/>
      <c r="H22" s="127"/>
      <c r="I22" s="149"/>
      <c r="J22" s="129"/>
      <c r="K22" s="897"/>
      <c r="L22" s="1138"/>
    </row>
    <row r="23" spans="2:12" x14ac:dyDescent="0.25">
      <c r="B23" s="246"/>
      <c r="C23" s="897"/>
      <c r="D23" s="159" t="s">
        <v>169</v>
      </c>
      <c r="E23" s="109"/>
      <c r="F23" s="110"/>
      <c r="G23" s="110"/>
      <c r="H23" s="110"/>
      <c r="I23" s="162">
        <f>'6A - 4%'!K20</f>
        <v>2360055</v>
      </c>
      <c r="J23" s="175"/>
      <c r="K23" s="1833"/>
      <c r="L23" s="1138"/>
    </row>
    <row r="24" spans="2:12" x14ac:dyDescent="0.25">
      <c r="B24" s="246"/>
      <c r="C24" s="897"/>
      <c r="D24" s="159" t="s">
        <v>170</v>
      </c>
      <c r="E24" s="109"/>
      <c r="F24" s="110"/>
      <c r="G24" s="110"/>
      <c r="H24" s="110"/>
      <c r="I24" s="164">
        <f>'6A - 4%'!K21</f>
        <v>0</v>
      </c>
      <c r="J24" s="156"/>
      <c r="K24" s="177"/>
      <c r="L24" s="1138"/>
    </row>
    <row r="25" spans="2:12" x14ac:dyDescent="0.25">
      <c r="B25" s="246"/>
      <c r="C25" s="897"/>
      <c r="D25" s="158" t="s">
        <v>171</v>
      </c>
      <c r="E25" s="109"/>
      <c r="F25" s="111"/>
      <c r="G25" s="111"/>
      <c r="H25" s="111"/>
      <c r="I25" s="164">
        <f>'6A - 4%'!K22</f>
        <v>150454</v>
      </c>
      <c r="J25" s="156"/>
      <c r="K25" s="177"/>
      <c r="L25" s="1138"/>
    </row>
    <row r="26" spans="2:12" x14ac:dyDescent="0.25">
      <c r="B26" s="246"/>
      <c r="C26" s="897"/>
      <c r="D26" s="158" t="s">
        <v>172</v>
      </c>
      <c r="E26" s="109"/>
      <c r="F26" s="111"/>
      <c r="G26" s="111"/>
      <c r="H26" s="111"/>
      <c r="I26" s="164">
        <f>'6A - 4%'!K23</f>
        <v>23601</v>
      </c>
      <c r="J26" s="156"/>
      <c r="K26" s="177"/>
      <c r="L26" s="1138"/>
    </row>
    <row r="27" spans="2:12" x14ac:dyDescent="0.25">
      <c r="B27" s="246"/>
      <c r="C27" s="897"/>
      <c r="D27" s="148" t="s">
        <v>173</v>
      </c>
      <c r="E27" s="109"/>
      <c r="F27" s="111"/>
      <c r="G27" s="111"/>
      <c r="H27" s="111"/>
      <c r="I27" s="164">
        <f>'6A - 4%'!K24</f>
        <v>0</v>
      </c>
      <c r="J27" s="156"/>
      <c r="K27" s="177"/>
      <c r="L27" s="1138"/>
    </row>
    <row r="28" spans="2:12" x14ac:dyDescent="0.25">
      <c r="B28" s="246"/>
      <c r="C28" s="897"/>
      <c r="D28" s="115" t="s">
        <v>476</v>
      </c>
      <c r="E28" s="2320">
        <f>(IF(AND(I28&lt;&gt;0,'6A - 4%'!E25=""),"Enter Item on Form 6A",'6A - 4%'!E25))</f>
        <v>0</v>
      </c>
      <c r="F28" s="2321"/>
      <c r="G28" s="2322"/>
      <c r="H28" s="1140"/>
      <c r="I28" s="188">
        <f>'6A - 4%'!K25</f>
        <v>0</v>
      </c>
      <c r="J28" s="189"/>
      <c r="K28" s="190"/>
      <c r="L28" s="1138"/>
    </row>
    <row r="29" spans="2:12" ht="15.75" thickBot="1" x14ac:dyDescent="0.3">
      <c r="B29" s="246"/>
      <c r="C29" s="110"/>
      <c r="D29" s="109"/>
      <c r="E29" s="109"/>
      <c r="F29" s="897"/>
      <c r="G29" s="113" t="s">
        <v>174</v>
      </c>
      <c r="H29" s="157"/>
      <c r="I29" s="187">
        <f>SUM(I23:I28)</f>
        <v>2534110</v>
      </c>
      <c r="J29" s="161">
        <f>SUM(J24:J28)</f>
        <v>0</v>
      </c>
      <c r="K29" s="166">
        <v>0</v>
      </c>
      <c r="L29" s="1138"/>
    </row>
    <row r="30" spans="2:12" ht="3.75" customHeight="1" x14ac:dyDescent="0.25">
      <c r="B30" s="246"/>
      <c r="C30" s="112"/>
      <c r="D30" s="113"/>
      <c r="E30" s="113"/>
      <c r="F30" s="109"/>
      <c r="G30" s="109"/>
      <c r="H30" s="109"/>
      <c r="I30" s="138"/>
      <c r="J30" s="138"/>
      <c r="K30" s="138"/>
      <c r="L30" s="1138"/>
    </row>
    <row r="31" spans="2:12" ht="15.75" thickBot="1" x14ac:dyDescent="0.3">
      <c r="B31" s="246"/>
      <c r="C31" s="143" t="s">
        <v>175</v>
      </c>
      <c r="D31" s="144"/>
      <c r="E31" s="144"/>
      <c r="F31" s="145"/>
      <c r="G31" s="145"/>
      <c r="H31" s="145"/>
      <c r="I31" s="139"/>
      <c r="J31" s="138"/>
      <c r="K31" s="138"/>
      <c r="L31" s="1138"/>
    </row>
    <row r="32" spans="2:12" x14ac:dyDescent="0.25">
      <c r="B32" s="246"/>
      <c r="C32" s="897"/>
      <c r="D32" s="158" t="s">
        <v>176</v>
      </c>
      <c r="E32" s="109"/>
      <c r="F32" s="111"/>
      <c r="G32" s="111"/>
      <c r="H32" s="111"/>
      <c r="I32" s="162">
        <f>'6A - 4%'!K29</f>
        <v>49949</v>
      </c>
      <c r="J32" s="163"/>
      <c r="K32" s="167">
        <f>I32</f>
        <v>49949</v>
      </c>
      <c r="L32" s="1138"/>
    </row>
    <row r="33" spans="2:12" x14ac:dyDescent="0.25">
      <c r="B33" s="246"/>
      <c r="C33" s="897"/>
      <c r="D33" s="158" t="s">
        <v>177</v>
      </c>
      <c r="E33" s="109"/>
      <c r="F33" s="114"/>
      <c r="G33" s="114"/>
      <c r="H33" s="114"/>
      <c r="I33" s="164">
        <f>'6A - 4%'!K30</f>
        <v>12629323</v>
      </c>
      <c r="J33" s="156"/>
      <c r="K33" s="168">
        <f>I33</f>
        <v>12629323</v>
      </c>
      <c r="L33" s="1138"/>
    </row>
    <row r="34" spans="2:12" x14ac:dyDescent="0.25">
      <c r="B34" s="246"/>
      <c r="C34" s="897"/>
      <c r="D34" s="158" t="s">
        <v>178</v>
      </c>
      <c r="E34" s="109"/>
      <c r="F34" s="114"/>
      <c r="G34" s="114"/>
      <c r="H34" s="114"/>
      <c r="I34" s="164">
        <f>'6A - 4%'!K31</f>
        <v>0</v>
      </c>
      <c r="J34" s="156"/>
      <c r="K34" s="168"/>
      <c r="L34" s="1138"/>
    </row>
    <row r="35" spans="2:12" x14ac:dyDescent="0.25">
      <c r="B35" s="246"/>
      <c r="C35" s="897"/>
      <c r="D35" s="158" t="s">
        <v>179</v>
      </c>
      <c r="E35" s="109"/>
      <c r="F35" s="114"/>
      <c r="G35" s="114"/>
      <c r="H35" s="114"/>
      <c r="I35" s="164">
        <f>'6A - 4%'!K32</f>
        <v>0</v>
      </c>
      <c r="J35" s="156"/>
      <c r="K35" s="168"/>
      <c r="L35" s="1138"/>
    </row>
    <row r="36" spans="2:12" x14ac:dyDescent="0.25">
      <c r="B36" s="246"/>
      <c r="C36" s="897"/>
      <c r="D36" s="158" t="s">
        <v>180</v>
      </c>
      <c r="E36" s="109"/>
      <c r="F36" s="114"/>
      <c r="G36" s="114"/>
      <c r="H36" s="114"/>
      <c r="I36" s="164">
        <f>'6A - 4%'!K33</f>
        <v>0</v>
      </c>
      <c r="J36" s="156"/>
      <c r="K36" s="168"/>
      <c r="L36" s="1138"/>
    </row>
    <row r="37" spans="2:12" x14ac:dyDescent="0.25">
      <c r="B37" s="246"/>
      <c r="C37" s="897"/>
      <c r="D37" s="158" t="s">
        <v>181</v>
      </c>
      <c r="E37" s="109"/>
      <c r="F37" s="115"/>
      <c r="G37" s="115"/>
      <c r="H37" s="115"/>
      <c r="I37" s="164">
        <f>'6A - 4%'!K34</f>
        <v>705488</v>
      </c>
      <c r="J37" s="156"/>
      <c r="K37" s="168">
        <f>I37</f>
        <v>705488</v>
      </c>
      <c r="L37" s="1138"/>
    </row>
    <row r="38" spans="2:12" x14ac:dyDescent="0.25">
      <c r="B38" s="246"/>
      <c r="C38" s="897"/>
      <c r="D38" s="158" t="s">
        <v>182</v>
      </c>
      <c r="E38" s="109"/>
      <c r="F38" s="115"/>
      <c r="G38" s="115"/>
      <c r="H38" s="115"/>
      <c r="I38" s="164">
        <f>'6A - 4%'!K35</f>
        <v>0</v>
      </c>
      <c r="J38" s="156"/>
      <c r="K38" s="168"/>
      <c r="L38" s="1138"/>
    </row>
    <row r="39" spans="2:12" x14ac:dyDescent="0.25">
      <c r="B39" s="246"/>
      <c r="C39" s="897"/>
      <c r="D39" s="158" t="s">
        <v>183</v>
      </c>
      <c r="E39" s="109"/>
      <c r="F39" s="116"/>
      <c r="G39" s="116"/>
      <c r="H39" s="116"/>
      <c r="I39" s="164">
        <f>'6A - 4%'!K36</f>
        <v>0</v>
      </c>
      <c r="J39" s="156"/>
      <c r="K39" s="168"/>
      <c r="L39" s="1138"/>
    </row>
    <row r="40" spans="2:12" x14ac:dyDescent="0.25">
      <c r="B40" s="246"/>
      <c r="C40" s="897"/>
      <c r="D40" s="158" t="s">
        <v>184</v>
      </c>
      <c r="E40" s="109"/>
      <c r="F40" s="116"/>
      <c r="G40" s="116"/>
      <c r="H40" s="116"/>
      <c r="I40" s="164">
        <f>'6A - 4%'!K37</f>
        <v>73752</v>
      </c>
      <c r="J40" s="156"/>
      <c r="K40" s="168">
        <f>I40</f>
        <v>73752</v>
      </c>
      <c r="L40" s="1138"/>
    </row>
    <row r="41" spans="2:12" x14ac:dyDescent="0.25">
      <c r="B41" s="246"/>
      <c r="C41" s="897"/>
      <c r="D41" s="158" t="s">
        <v>185</v>
      </c>
      <c r="E41" s="109"/>
      <c r="F41" s="117"/>
      <c r="G41" s="117"/>
      <c r="H41" s="117"/>
      <c r="I41" s="164">
        <f>'6A - 4%'!K38</f>
        <v>0</v>
      </c>
      <c r="J41" s="207"/>
      <c r="K41" s="178"/>
      <c r="L41" s="1138"/>
    </row>
    <row r="42" spans="2:12" x14ac:dyDescent="0.25">
      <c r="B42" s="246"/>
      <c r="C42" s="897"/>
      <c r="D42" s="158" t="s">
        <v>253</v>
      </c>
      <c r="E42" s="109"/>
      <c r="F42" s="117"/>
      <c r="G42" s="117"/>
      <c r="H42" s="117"/>
      <c r="I42" s="164">
        <f>'6A - 4%'!K39</f>
        <v>0</v>
      </c>
      <c r="J42" s="156"/>
      <c r="K42" s="168"/>
      <c r="L42" s="1138"/>
    </row>
    <row r="43" spans="2:12" x14ac:dyDescent="0.25">
      <c r="B43" s="246"/>
      <c r="C43" s="897"/>
      <c r="D43" s="158" t="s">
        <v>254</v>
      </c>
      <c r="E43" s="109"/>
      <c r="F43" s="117"/>
      <c r="G43" s="117"/>
      <c r="H43" s="117"/>
      <c r="I43" s="164">
        <f>'6A - 4%'!K40</f>
        <v>0</v>
      </c>
      <c r="J43" s="156"/>
      <c r="K43" s="168"/>
      <c r="L43" s="1138"/>
    </row>
    <row r="44" spans="2:12" x14ac:dyDescent="0.25">
      <c r="B44" s="246"/>
      <c r="C44" s="897"/>
      <c r="D44" s="158" t="s">
        <v>188</v>
      </c>
      <c r="E44" s="117"/>
      <c r="F44" s="118"/>
      <c r="G44" s="118"/>
      <c r="H44" s="118"/>
      <c r="I44" s="164">
        <f>'6A - 4%'!K41</f>
        <v>1235892</v>
      </c>
      <c r="J44" s="156"/>
      <c r="K44" s="168">
        <f>I44</f>
        <v>1235892</v>
      </c>
      <c r="L44" s="1138"/>
    </row>
    <row r="45" spans="2:12" x14ac:dyDescent="0.25">
      <c r="B45" s="246"/>
      <c r="C45" s="897"/>
      <c r="D45" s="158" t="s">
        <v>189</v>
      </c>
      <c r="E45" s="109"/>
      <c r="F45" s="116"/>
      <c r="G45" s="116"/>
      <c r="H45" s="116"/>
      <c r="I45" s="164">
        <f>'6A - 4%'!K42</f>
        <v>84797</v>
      </c>
      <c r="J45" s="156"/>
      <c r="K45" s="168">
        <f>I45</f>
        <v>84797</v>
      </c>
      <c r="L45" s="1138"/>
    </row>
    <row r="46" spans="2:12" x14ac:dyDescent="0.25">
      <c r="B46" s="246"/>
      <c r="C46" s="897"/>
      <c r="D46" s="158" t="s">
        <v>190</v>
      </c>
      <c r="E46" s="109"/>
      <c r="F46" s="117"/>
      <c r="G46" s="117"/>
      <c r="H46" s="117"/>
      <c r="I46" s="164">
        <f>'6A - 4%'!K43</f>
        <v>36053</v>
      </c>
      <c r="J46" s="156"/>
      <c r="K46" s="168">
        <f>I46</f>
        <v>36053</v>
      </c>
      <c r="L46" s="1138"/>
    </row>
    <row r="47" spans="2:12" x14ac:dyDescent="0.25">
      <c r="B47" s="246"/>
      <c r="C47" s="897"/>
      <c r="D47" s="115" t="s">
        <v>476</v>
      </c>
      <c r="E47" s="2320" t="str">
        <f>(IF(AND(I47&lt;&gt;0,'6A - 4%'!E44=""),"Enter Item on Form 6A",'6A - 4%'!E44))</f>
        <v>FF&amp;E</v>
      </c>
      <c r="F47" s="2321"/>
      <c r="G47" s="2322"/>
      <c r="H47" s="1140"/>
      <c r="I47" s="188">
        <f>'6A - 4%'!K44</f>
        <v>0</v>
      </c>
      <c r="J47" s="191"/>
      <c r="K47" s="192"/>
      <c r="L47" s="1138"/>
    </row>
    <row r="48" spans="2:12" ht="15.75" thickBot="1" x14ac:dyDescent="0.3">
      <c r="B48" s="246"/>
      <c r="C48" s="110"/>
      <c r="D48" s="109"/>
      <c r="E48" s="109"/>
      <c r="F48" s="897"/>
      <c r="G48" s="113" t="s">
        <v>174</v>
      </c>
      <c r="H48" s="157"/>
      <c r="I48" s="187">
        <f>SUM(I32:I47)</f>
        <v>14815254</v>
      </c>
      <c r="J48" s="161">
        <f>(SUM(J32:J40))+(SUM(J42:J47))</f>
        <v>0</v>
      </c>
      <c r="K48" s="170">
        <f>(SUM(K32:K40))+(SUM(K42:K47))</f>
        <v>14815254</v>
      </c>
      <c r="L48" s="1138"/>
    </row>
    <row r="49" spans="2:12" ht="3.75" customHeight="1" x14ac:dyDescent="0.25">
      <c r="B49" s="246"/>
      <c r="C49" s="112"/>
      <c r="D49" s="113"/>
      <c r="E49" s="113"/>
      <c r="F49" s="109"/>
      <c r="G49" s="109"/>
      <c r="H49" s="109"/>
      <c r="I49" s="138"/>
      <c r="J49" s="138"/>
      <c r="K49" s="138"/>
      <c r="L49" s="1138"/>
    </row>
    <row r="50" spans="2:12" ht="15.75" thickBot="1" x14ac:dyDescent="0.3">
      <c r="B50" s="246"/>
      <c r="C50" s="146" t="s">
        <v>191</v>
      </c>
      <c r="D50" s="146"/>
      <c r="E50" s="146"/>
      <c r="F50" s="146"/>
      <c r="G50" s="146"/>
      <c r="H50" s="146"/>
      <c r="I50" s="138"/>
      <c r="J50" s="140"/>
      <c r="K50" s="140"/>
      <c r="L50" s="1138"/>
    </row>
    <row r="51" spans="2:12" x14ac:dyDescent="0.25">
      <c r="B51" s="246"/>
      <c r="C51" s="897"/>
      <c r="D51" s="158" t="s">
        <v>192</v>
      </c>
      <c r="E51" s="109"/>
      <c r="F51" s="111"/>
      <c r="G51" s="111"/>
      <c r="H51" s="111"/>
      <c r="I51" s="162">
        <f>'6A - 4%'!K48</f>
        <v>7080</v>
      </c>
      <c r="J51" s="179"/>
      <c r="K51" s="180"/>
      <c r="L51" s="1138"/>
    </row>
    <row r="52" spans="2:12" x14ac:dyDescent="0.25">
      <c r="B52" s="246"/>
      <c r="C52" s="897"/>
      <c r="D52" s="158" t="s">
        <v>193</v>
      </c>
      <c r="E52" s="109"/>
      <c r="F52" s="111"/>
      <c r="G52" s="111"/>
      <c r="H52" s="111"/>
      <c r="I52" s="164">
        <f>'6A - 4%'!K49</f>
        <v>3605</v>
      </c>
      <c r="J52" s="156"/>
      <c r="K52" s="168">
        <f>I52</f>
        <v>3605</v>
      </c>
      <c r="L52" s="1138"/>
    </row>
    <row r="53" spans="2:12" x14ac:dyDescent="0.25">
      <c r="B53" s="246"/>
      <c r="C53" s="897"/>
      <c r="D53" s="158" t="s">
        <v>194</v>
      </c>
      <c r="E53" s="109"/>
      <c r="F53" s="111"/>
      <c r="G53" s="111"/>
      <c r="H53" s="111"/>
      <c r="I53" s="164">
        <f>'6A - 4%'!K50</f>
        <v>740467</v>
      </c>
      <c r="J53" s="156"/>
      <c r="K53" s="168">
        <f>I53</f>
        <v>740467</v>
      </c>
      <c r="L53" s="1138"/>
    </row>
    <row r="54" spans="2:12" x14ac:dyDescent="0.25">
      <c r="B54" s="246"/>
      <c r="C54" s="897"/>
      <c r="D54" s="158" t="s">
        <v>195</v>
      </c>
      <c r="E54" s="109"/>
      <c r="F54" s="111"/>
      <c r="G54" s="111"/>
      <c r="H54" s="111"/>
      <c r="I54" s="164">
        <f>'6A - 4%'!K51</f>
        <v>0</v>
      </c>
      <c r="J54" s="156"/>
      <c r="K54" s="168">
        <f t="shared" ref="K54:K62" si="0">I54</f>
        <v>0</v>
      </c>
      <c r="L54" s="1138"/>
    </row>
    <row r="55" spans="2:12" x14ac:dyDescent="0.25">
      <c r="B55" s="246"/>
      <c r="C55" s="897"/>
      <c r="D55" s="148" t="s">
        <v>196</v>
      </c>
      <c r="E55" s="119"/>
      <c r="F55" s="111"/>
      <c r="G55" s="111"/>
      <c r="H55" s="111"/>
      <c r="I55" s="164">
        <f>'6A - 4%'!K52</f>
        <v>4720</v>
      </c>
      <c r="J55" s="156"/>
      <c r="K55" s="168">
        <f t="shared" si="0"/>
        <v>4720</v>
      </c>
      <c r="L55" s="1138"/>
    </row>
    <row r="56" spans="2:12" x14ac:dyDescent="0.25">
      <c r="B56" s="246"/>
      <c r="C56" s="897"/>
      <c r="D56" s="158" t="s">
        <v>197</v>
      </c>
      <c r="E56" s="120"/>
      <c r="F56" s="111"/>
      <c r="G56" s="111"/>
      <c r="H56" s="111"/>
      <c r="I56" s="164">
        <f>'6A - 4%'!K53</f>
        <v>15697</v>
      </c>
      <c r="J56" s="156"/>
      <c r="K56" s="168">
        <f t="shared" si="0"/>
        <v>15697</v>
      </c>
      <c r="L56" s="1138"/>
    </row>
    <row r="57" spans="2:12" x14ac:dyDescent="0.25">
      <c r="B57" s="246"/>
      <c r="C57" s="897"/>
      <c r="D57" s="158" t="s">
        <v>198</v>
      </c>
      <c r="E57" s="121"/>
      <c r="F57" s="111"/>
      <c r="G57" s="111"/>
      <c r="H57" s="111"/>
      <c r="I57" s="164">
        <f>'6A - 4%'!K54</f>
        <v>22273</v>
      </c>
      <c r="J57" s="156"/>
      <c r="K57" s="168">
        <f t="shared" si="0"/>
        <v>22273</v>
      </c>
      <c r="L57" s="1138"/>
    </row>
    <row r="58" spans="2:12" x14ac:dyDescent="0.25">
      <c r="B58" s="246"/>
      <c r="C58" s="897"/>
      <c r="D58" s="158" t="s">
        <v>199</v>
      </c>
      <c r="E58" s="109"/>
      <c r="F58" s="115"/>
      <c r="G58" s="115"/>
      <c r="H58" s="115"/>
      <c r="I58" s="164">
        <f>'6A - 4%'!K55</f>
        <v>106202</v>
      </c>
      <c r="J58" s="156"/>
      <c r="K58" s="168">
        <f t="shared" si="0"/>
        <v>106202</v>
      </c>
      <c r="L58" s="1138"/>
    </row>
    <row r="59" spans="2:12" x14ac:dyDescent="0.25">
      <c r="B59" s="246"/>
      <c r="C59" s="897"/>
      <c r="D59" s="148" t="s">
        <v>200</v>
      </c>
      <c r="E59" s="109"/>
      <c r="F59" s="111"/>
      <c r="G59" s="111"/>
      <c r="H59" s="111"/>
      <c r="I59" s="164">
        <f>'6A - 4%'!K56</f>
        <v>2132489</v>
      </c>
      <c r="J59" s="156"/>
      <c r="K59" s="168">
        <f t="shared" si="0"/>
        <v>2132489</v>
      </c>
      <c r="L59" s="1138"/>
    </row>
    <row r="60" spans="2:12" x14ac:dyDescent="0.25">
      <c r="B60" s="246"/>
      <c r="C60" s="897"/>
      <c r="D60" s="148" t="s">
        <v>255</v>
      </c>
      <c r="E60" s="109"/>
      <c r="F60" s="111"/>
      <c r="G60" s="111"/>
      <c r="H60" s="111"/>
      <c r="I60" s="164">
        <f>'6A - 4%'!K57</f>
        <v>141603</v>
      </c>
      <c r="J60" s="156"/>
      <c r="K60" s="168">
        <f t="shared" si="0"/>
        <v>141603</v>
      </c>
      <c r="L60" s="1138"/>
    </row>
    <row r="61" spans="2:12" x14ac:dyDescent="0.25">
      <c r="B61" s="246"/>
      <c r="C61" s="897"/>
      <c r="D61" s="148" t="s">
        <v>202</v>
      </c>
      <c r="E61" s="115"/>
      <c r="F61" s="897"/>
      <c r="G61" s="1141"/>
      <c r="H61" s="1141"/>
      <c r="I61" s="164">
        <f>'6A - 4%'!K58</f>
        <v>43071</v>
      </c>
      <c r="J61" s="156"/>
      <c r="K61" s="169">
        <f t="shared" si="0"/>
        <v>43071</v>
      </c>
      <c r="L61" s="1138"/>
    </row>
    <row r="62" spans="2:12" x14ac:dyDescent="0.25">
      <c r="B62" s="246"/>
      <c r="C62" s="897"/>
      <c r="D62" s="148" t="s">
        <v>203</v>
      </c>
      <c r="E62" s="115"/>
      <c r="F62" s="897"/>
      <c r="G62" s="1141"/>
      <c r="H62" s="1141"/>
      <c r="I62" s="164">
        <f>'6A - 4%'!K59</f>
        <v>66427</v>
      </c>
      <c r="J62" s="156"/>
      <c r="K62" s="169">
        <f t="shared" si="0"/>
        <v>66427</v>
      </c>
      <c r="L62" s="1138"/>
    </row>
    <row r="63" spans="2:12" x14ac:dyDescent="0.25">
      <c r="B63" s="246"/>
      <c r="C63" s="897"/>
      <c r="D63" s="115" t="s">
        <v>476</v>
      </c>
      <c r="E63" s="2320" t="str">
        <f>(IF(AND(I63&lt;&gt;0,'6A - 4%'!E60=""),"Enter Item on Form 6A",'6A - 4%'!E60))</f>
        <v>temporary parking costs</v>
      </c>
      <c r="F63" s="2321"/>
      <c r="G63" s="2322"/>
      <c r="H63" s="1140"/>
      <c r="I63" s="188">
        <f>'6A - 4%'!K60</f>
        <v>50151</v>
      </c>
      <c r="J63" s="191"/>
      <c r="K63" s="193">
        <v>0</v>
      </c>
      <c r="L63" s="1138"/>
    </row>
    <row r="64" spans="2:12" ht="15.75" thickBot="1" x14ac:dyDescent="0.3">
      <c r="B64" s="246"/>
      <c r="C64" s="110"/>
      <c r="D64" s="109"/>
      <c r="E64" s="109"/>
      <c r="F64" s="897"/>
      <c r="G64" s="113" t="s">
        <v>174</v>
      </c>
      <c r="H64" s="157"/>
      <c r="I64" s="187">
        <f>SUM(I51:I63)</f>
        <v>3333785</v>
      </c>
      <c r="J64" s="161">
        <f>SUM(J52:J63)</f>
        <v>0</v>
      </c>
      <c r="K64" s="170">
        <f>SUM(K52:K63)</f>
        <v>3276554</v>
      </c>
      <c r="L64" s="1138"/>
    </row>
    <row r="65" spans="2:12" ht="9" customHeight="1" thickBot="1" x14ac:dyDescent="0.3">
      <c r="B65" s="1142"/>
      <c r="C65" s="202"/>
      <c r="D65" s="202"/>
      <c r="E65" s="202"/>
      <c r="F65" s="203"/>
      <c r="G65" s="203"/>
      <c r="H65" s="203"/>
      <c r="I65" s="204"/>
      <c r="J65" s="205"/>
      <c r="K65" s="205"/>
      <c r="L65" s="1143"/>
    </row>
    <row r="66" spans="2:12" ht="15.75" thickBot="1" x14ac:dyDescent="0.3">
      <c r="B66" s="246"/>
      <c r="C66" s="198" t="s">
        <v>204</v>
      </c>
      <c r="D66" s="199"/>
      <c r="E66" s="199"/>
      <c r="F66" s="200"/>
      <c r="G66" s="200"/>
      <c r="H66" s="200"/>
      <c r="I66" s="201"/>
      <c r="J66" s="138"/>
      <c r="K66" s="138"/>
      <c r="L66" s="1138"/>
    </row>
    <row r="67" spans="2:12" x14ac:dyDescent="0.25">
      <c r="B67" s="246"/>
      <c r="C67" s="897"/>
      <c r="D67" s="152" t="s">
        <v>205</v>
      </c>
      <c r="E67" s="113"/>
      <c r="F67" s="109"/>
      <c r="G67" s="109"/>
      <c r="H67" s="109"/>
      <c r="I67" s="162">
        <f>'6A - 4%'!K64</f>
        <v>0</v>
      </c>
      <c r="J67" s="181"/>
      <c r="K67" s="182"/>
      <c r="L67" s="1138"/>
    </row>
    <row r="68" spans="2:12" x14ac:dyDescent="0.25">
      <c r="B68" s="246"/>
      <c r="C68" s="897"/>
      <c r="D68" s="152" t="s">
        <v>206</v>
      </c>
      <c r="E68" s="113"/>
      <c r="F68" s="109"/>
      <c r="G68" s="109"/>
      <c r="H68" s="109"/>
      <c r="I68" s="188">
        <f>'6A - 4%'!K65</f>
        <v>59001</v>
      </c>
      <c r="J68" s="194"/>
      <c r="K68" s="195"/>
      <c r="L68" s="1138"/>
    </row>
    <row r="69" spans="2:12" ht="15.75" thickBot="1" x14ac:dyDescent="0.3">
      <c r="B69" s="246"/>
      <c r="C69" s="897"/>
      <c r="D69" s="113"/>
      <c r="E69" s="897"/>
      <c r="F69" s="109"/>
      <c r="G69" s="113" t="s">
        <v>174</v>
      </c>
      <c r="H69" s="109"/>
      <c r="I69" s="187">
        <f>SUM(I67:I68)</f>
        <v>59001</v>
      </c>
      <c r="J69" s="161">
        <v>0</v>
      </c>
      <c r="K69" s="170">
        <v>0</v>
      </c>
      <c r="L69" s="1138"/>
    </row>
    <row r="70" spans="2:12" ht="3.75" customHeight="1" x14ac:dyDescent="0.25">
      <c r="B70" s="246"/>
      <c r="C70" s="897"/>
      <c r="D70" s="113"/>
      <c r="E70" s="897"/>
      <c r="F70" s="109"/>
      <c r="G70" s="109"/>
      <c r="H70" s="109"/>
      <c r="I70" s="138"/>
      <c r="J70" s="138"/>
      <c r="K70" s="138"/>
      <c r="L70" s="1138"/>
    </row>
    <row r="71" spans="2:12" ht="15.75" thickBot="1" x14ac:dyDescent="0.3">
      <c r="B71" s="246"/>
      <c r="C71" s="143" t="s">
        <v>207</v>
      </c>
      <c r="D71" s="144"/>
      <c r="E71" s="144"/>
      <c r="F71" s="145"/>
      <c r="G71" s="145"/>
      <c r="H71" s="145"/>
      <c r="I71" s="138"/>
      <c r="J71" s="138"/>
      <c r="K71" s="138"/>
      <c r="L71" s="1138"/>
    </row>
    <row r="72" spans="2:12" x14ac:dyDescent="0.25">
      <c r="B72" s="246"/>
      <c r="C72" s="897"/>
      <c r="D72" s="158" t="s">
        <v>208</v>
      </c>
      <c r="E72" s="113"/>
      <c r="F72" s="109"/>
      <c r="G72" s="109"/>
      <c r="H72" s="109"/>
      <c r="I72" s="162">
        <f>'6A - 4%'!K69</f>
        <v>42000</v>
      </c>
      <c r="J72" s="163"/>
      <c r="K72" s="171">
        <f>I72</f>
        <v>42000</v>
      </c>
      <c r="L72" s="1138"/>
    </row>
    <row r="73" spans="2:12" x14ac:dyDescent="0.25">
      <c r="B73" s="246"/>
      <c r="C73" s="897"/>
      <c r="D73" s="158" t="s">
        <v>209</v>
      </c>
      <c r="E73" s="113"/>
      <c r="F73" s="109"/>
      <c r="G73" s="109"/>
      <c r="H73" s="109"/>
      <c r="I73" s="164">
        <f>'6A - 4%'!K70</f>
        <v>0</v>
      </c>
      <c r="J73" s="156"/>
      <c r="K73" s="168"/>
      <c r="L73" s="1138"/>
    </row>
    <row r="74" spans="2:12" x14ac:dyDescent="0.25">
      <c r="B74" s="246"/>
      <c r="C74" s="897"/>
      <c r="D74" s="158" t="s">
        <v>210</v>
      </c>
      <c r="E74" s="113"/>
      <c r="F74" s="109"/>
      <c r="G74" s="109"/>
      <c r="H74" s="109"/>
      <c r="I74" s="164">
        <f>'6A - 4%'!K71</f>
        <v>20000</v>
      </c>
      <c r="J74" s="156"/>
      <c r="K74" s="168">
        <f>I74</f>
        <v>20000</v>
      </c>
      <c r="L74" s="1138"/>
    </row>
    <row r="75" spans="2:12" x14ac:dyDescent="0.25">
      <c r="B75" s="246"/>
      <c r="C75" s="897"/>
      <c r="D75" s="158" t="s">
        <v>211</v>
      </c>
      <c r="E75" s="113"/>
      <c r="F75" s="109"/>
      <c r="G75" s="109"/>
      <c r="H75" s="109"/>
      <c r="I75" s="164">
        <f>'6A - 4%'!K72</f>
        <v>485000</v>
      </c>
      <c r="J75" s="156"/>
      <c r="K75" s="168">
        <f>0.7*I75</f>
        <v>339500</v>
      </c>
      <c r="L75" s="1138"/>
    </row>
    <row r="76" spans="2:12" x14ac:dyDescent="0.25">
      <c r="B76" s="246"/>
      <c r="C76" s="897"/>
      <c r="D76" s="158" t="s">
        <v>212</v>
      </c>
      <c r="E76" s="113"/>
      <c r="F76" s="109"/>
      <c r="G76" s="109"/>
      <c r="H76" s="109"/>
      <c r="I76" s="188">
        <f>'6A - 4%'!K73</f>
        <v>73752</v>
      </c>
      <c r="J76" s="196"/>
      <c r="K76" s="197"/>
      <c r="L76" s="1138"/>
    </row>
    <row r="77" spans="2:12" ht="15.75" thickBot="1" x14ac:dyDescent="0.3">
      <c r="B77" s="246"/>
      <c r="C77" s="110"/>
      <c r="D77" s="109"/>
      <c r="E77" s="109"/>
      <c r="F77" s="897"/>
      <c r="G77" s="113" t="s">
        <v>174</v>
      </c>
      <c r="H77" s="157"/>
      <c r="I77" s="187">
        <f>SUM(I72:I76)</f>
        <v>620752</v>
      </c>
      <c r="J77" s="161">
        <f>SUM(J72:J75)</f>
        <v>0</v>
      </c>
      <c r="K77" s="170">
        <f>SUM(K72:K75)</f>
        <v>401500</v>
      </c>
      <c r="L77" s="1138"/>
    </row>
    <row r="78" spans="2:12" ht="3.75" customHeight="1" x14ac:dyDescent="0.25">
      <c r="B78" s="246"/>
      <c r="C78" s="112"/>
      <c r="D78" s="113"/>
      <c r="E78" s="113"/>
      <c r="F78" s="109"/>
      <c r="G78" s="109"/>
      <c r="H78" s="109"/>
      <c r="I78" s="138"/>
      <c r="J78" s="138"/>
      <c r="K78" s="138"/>
      <c r="L78" s="1138"/>
    </row>
    <row r="79" spans="2:12" ht="15.75" thickBot="1" x14ac:dyDescent="0.3">
      <c r="B79" s="246"/>
      <c r="C79" s="143" t="s">
        <v>213</v>
      </c>
      <c r="D79" s="144"/>
      <c r="E79" s="144"/>
      <c r="F79" s="145"/>
      <c r="G79" s="145"/>
      <c r="H79" s="145"/>
      <c r="I79" s="138"/>
      <c r="J79" s="138"/>
      <c r="K79" s="138"/>
      <c r="L79" s="1138"/>
    </row>
    <row r="80" spans="2:12" x14ac:dyDescent="0.25">
      <c r="B80" s="246"/>
      <c r="C80" s="897"/>
      <c r="D80" s="158" t="s">
        <v>214</v>
      </c>
      <c r="E80" s="113"/>
      <c r="F80" s="109"/>
      <c r="G80" s="109"/>
      <c r="H80" s="109"/>
      <c r="I80" s="162">
        <f>'6A - 4%'!K77</f>
        <v>68000</v>
      </c>
      <c r="J80" s="181"/>
      <c r="K80" s="182"/>
      <c r="L80" s="1138"/>
    </row>
    <row r="81" spans="2:12" x14ac:dyDescent="0.25">
      <c r="B81" s="246"/>
      <c r="C81" s="897"/>
      <c r="D81" s="158" t="s">
        <v>215</v>
      </c>
      <c r="E81" s="113"/>
      <c r="F81" s="109"/>
      <c r="G81" s="109"/>
      <c r="H81" s="109"/>
      <c r="I81" s="164">
        <f>'6A - 4%'!K78</f>
        <v>0</v>
      </c>
      <c r="J81" s="183"/>
      <c r="K81" s="184"/>
      <c r="L81" s="1138"/>
    </row>
    <row r="82" spans="2:12" x14ac:dyDescent="0.25">
      <c r="B82" s="246"/>
      <c r="C82" s="897"/>
      <c r="D82" s="158" t="s">
        <v>216</v>
      </c>
      <c r="E82" s="113"/>
      <c r="F82" s="109"/>
      <c r="G82" s="109"/>
      <c r="H82" s="109"/>
      <c r="I82" s="164">
        <f>'6A - 4%'!K79</f>
        <v>20000</v>
      </c>
      <c r="J82" s="183"/>
      <c r="K82" s="184"/>
      <c r="L82" s="1138"/>
    </row>
    <row r="83" spans="2:12" x14ac:dyDescent="0.25">
      <c r="B83" s="246"/>
      <c r="C83" s="897"/>
      <c r="D83" s="147" t="s">
        <v>217</v>
      </c>
      <c r="E83" s="109"/>
      <c r="F83" s="109"/>
      <c r="G83" s="109"/>
      <c r="H83" s="109"/>
      <c r="I83" s="164">
        <f>'6A - 4%'!K80</f>
        <v>44944</v>
      </c>
      <c r="J83" s="183"/>
      <c r="K83" s="184"/>
      <c r="L83" s="1138"/>
    </row>
    <row r="84" spans="2:12" x14ac:dyDescent="0.25">
      <c r="B84" s="246"/>
      <c r="C84" s="897"/>
      <c r="D84" s="153" t="s">
        <v>218</v>
      </c>
      <c r="E84" s="109"/>
      <c r="F84" s="109"/>
      <c r="G84" s="109"/>
      <c r="H84" s="109"/>
      <c r="I84" s="164">
        <f>'6A - 4%'!K81</f>
        <v>36053</v>
      </c>
      <c r="J84" s="183"/>
      <c r="K84" s="184"/>
      <c r="L84" s="1138"/>
    </row>
    <row r="85" spans="2:12" x14ac:dyDescent="0.25">
      <c r="B85" s="246"/>
      <c r="C85" s="897"/>
      <c r="D85" s="153" t="s">
        <v>219</v>
      </c>
      <c r="E85" s="109"/>
      <c r="F85" s="109"/>
      <c r="G85" s="109"/>
      <c r="H85" s="109"/>
      <c r="I85" s="164">
        <f>'6A - 4%'!K82</f>
        <v>0</v>
      </c>
      <c r="J85" s="183"/>
      <c r="K85" s="184"/>
      <c r="L85" s="1138"/>
    </row>
    <row r="86" spans="2:12" x14ac:dyDescent="0.25">
      <c r="B86" s="246"/>
      <c r="C86" s="897"/>
      <c r="D86" s="148" t="s">
        <v>220</v>
      </c>
      <c r="E86" s="113"/>
      <c r="F86" s="109"/>
      <c r="G86" s="109"/>
      <c r="H86" s="109"/>
      <c r="I86" s="164">
        <f>'6A - 4%'!K83</f>
        <v>0</v>
      </c>
      <c r="J86" s="183"/>
      <c r="K86" s="184"/>
      <c r="L86" s="1138"/>
    </row>
    <row r="87" spans="2:12" x14ac:dyDescent="0.25">
      <c r="B87" s="246"/>
      <c r="C87" s="897"/>
      <c r="D87" s="115" t="s">
        <v>476</v>
      </c>
      <c r="E87" s="2320" t="str">
        <f>(IF(AND(I87&lt;&gt;0,'6A - 4%'!E84=""),"Enter Item on Form 6A",'6A - 4%'!E84))</f>
        <v>Closing Cost &amp; Bank Inspections</v>
      </c>
      <c r="F87" s="2321"/>
      <c r="G87" s="2322"/>
      <c r="H87" s="1140"/>
      <c r="I87" s="188">
        <f>'6A - 4%'!K84</f>
        <v>33235</v>
      </c>
      <c r="J87" s="194"/>
      <c r="K87" s="195"/>
      <c r="L87" s="1138"/>
    </row>
    <row r="88" spans="2:12" ht="15.75" thickBot="1" x14ac:dyDescent="0.3">
      <c r="B88" s="246"/>
      <c r="C88" s="110"/>
      <c r="D88" s="109"/>
      <c r="E88" s="109"/>
      <c r="F88" s="897"/>
      <c r="G88" s="113" t="s">
        <v>174</v>
      </c>
      <c r="H88" s="157"/>
      <c r="I88" s="187">
        <f>SUM(I80:I87)</f>
        <v>202232</v>
      </c>
      <c r="J88" s="161">
        <v>0</v>
      </c>
      <c r="K88" s="170">
        <v>0</v>
      </c>
      <c r="L88" s="1138"/>
    </row>
    <row r="89" spans="2:12" ht="3.75" customHeight="1" x14ac:dyDescent="0.25">
      <c r="B89" s="246"/>
      <c r="C89" s="112"/>
      <c r="D89" s="113"/>
      <c r="E89" s="113"/>
      <c r="F89" s="109"/>
      <c r="G89" s="109"/>
      <c r="H89" s="109"/>
      <c r="I89" s="138"/>
      <c r="J89" s="138"/>
      <c r="K89" s="138"/>
      <c r="L89" s="1138"/>
    </row>
    <row r="90" spans="2:12" ht="15.75" thickBot="1" x14ac:dyDescent="0.3">
      <c r="B90" s="246"/>
      <c r="C90" s="143" t="s">
        <v>221</v>
      </c>
      <c r="D90" s="144"/>
      <c r="E90" s="144"/>
      <c r="F90" s="145"/>
      <c r="G90" s="145"/>
      <c r="H90" s="145"/>
      <c r="I90" s="141"/>
      <c r="J90" s="141"/>
      <c r="K90" s="150"/>
      <c r="L90" s="1138"/>
    </row>
    <row r="91" spans="2:12" x14ac:dyDescent="0.25">
      <c r="B91" s="246"/>
      <c r="C91" s="897"/>
      <c r="D91" s="154" t="s">
        <v>222</v>
      </c>
      <c r="E91" s="109"/>
      <c r="F91" s="116"/>
      <c r="G91" s="116"/>
      <c r="H91" s="116"/>
      <c r="I91" s="162">
        <f>'6A - 4%'!K88</f>
        <v>445000</v>
      </c>
      <c r="J91" s="181"/>
      <c r="K91" s="182"/>
      <c r="L91" s="1138"/>
    </row>
    <row r="92" spans="2:12" x14ac:dyDescent="0.25">
      <c r="B92" s="246"/>
      <c r="C92" s="897"/>
      <c r="D92" s="154" t="s">
        <v>223</v>
      </c>
      <c r="E92" s="109"/>
      <c r="F92" s="117"/>
      <c r="G92" s="117"/>
      <c r="H92" s="117"/>
      <c r="I92" s="164">
        <f>'6A - 4%'!K89</f>
        <v>28000</v>
      </c>
      <c r="J92" s="183"/>
      <c r="K92" s="184"/>
      <c r="L92" s="1138"/>
    </row>
    <row r="93" spans="2:12" x14ac:dyDescent="0.25">
      <c r="B93" s="246"/>
      <c r="C93" s="897"/>
      <c r="D93" s="115" t="s">
        <v>476</v>
      </c>
      <c r="E93" s="2320">
        <f>(IF(AND(I93&lt;&gt;0,'6A - 4%'!E90=""),"Enter Item on Form 6A",'6A - 4%'!E90))</f>
        <v>0</v>
      </c>
      <c r="F93" s="2321"/>
      <c r="G93" s="2322"/>
      <c r="H93" s="1140"/>
      <c r="I93" s="188">
        <f>'6A - 4%'!K90</f>
        <v>0</v>
      </c>
      <c r="J93" s="194"/>
      <c r="K93" s="195"/>
      <c r="L93" s="1138"/>
    </row>
    <row r="94" spans="2:12" ht="15.75" thickBot="1" x14ac:dyDescent="0.3">
      <c r="B94" s="246"/>
      <c r="C94" s="110"/>
      <c r="D94" s="109"/>
      <c r="E94" s="109"/>
      <c r="F94" s="897"/>
      <c r="G94" s="113" t="s">
        <v>174</v>
      </c>
      <c r="H94" s="157"/>
      <c r="I94" s="187">
        <f>SUM(I91:I93)</f>
        <v>473000</v>
      </c>
      <c r="J94" s="161">
        <v>0</v>
      </c>
      <c r="K94" s="170">
        <v>0</v>
      </c>
      <c r="L94" s="1138"/>
    </row>
    <row r="95" spans="2:12" ht="3.75" customHeight="1" x14ac:dyDescent="0.25">
      <c r="B95" s="246"/>
      <c r="C95" s="112"/>
      <c r="D95" s="113"/>
      <c r="E95" s="113"/>
      <c r="F95" s="109"/>
      <c r="G95" s="109"/>
      <c r="H95" s="109"/>
      <c r="I95" s="138"/>
      <c r="J95" s="138"/>
      <c r="K95" s="138"/>
      <c r="L95" s="1138"/>
    </row>
    <row r="96" spans="2:12" ht="15.75" thickBot="1" x14ac:dyDescent="0.3">
      <c r="B96" s="246"/>
      <c r="C96" s="143" t="s">
        <v>224</v>
      </c>
      <c r="D96" s="144"/>
      <c r="E96" s="144"/>
      <c r="F96" s="145"/>
      <c r="G96" s="145"/>
      <c r="H96" s="145"/>
      <c r="I96" s="151"/>
      <c r="J96" s="141"/>
      <c r="K96" s="150"/>
      <c r="L96" s="1138"/>
    </row>
    <row r="97" spans="2:12" x14ac:dyDescent="0.25">
      <c r="B97" s="246"/>
      <c r="C97" s="897"/>
      <c r="D97" s="148" t="s">
        <v>225</v>
      </c>
      <c r="E97" s="109"/>
      <c r="F97" s="116"/>
      <c r="G97" s="116"/>
      <c r="H97" s="116"/>
      <c r="I97" s="162">
        <f>'6A - 4%'!K94</f>
        <v>0</v>
      </c>
      <c r="J97" s="163"/>
      <c r="K97" s="171"/>
      <c r="L97" s="1138"/>
    </row>
    <row r="98" spans="2:12" x14ac:dyDescent="0.25">
      <c r="B98" s="246"/>
      <c r="C98" s="897"/>
      <c r="D98" s="148" t="s">
        <v>226</v>
      </c>
      <c r="E98" s="109"/>
      <c r="F98" s="117"/>
      <c r="G98" s="117"/>
      <c r="H98" s="117"/>
      <c r="I98" s="164">
        <f>'6A - 4%'!K95</f>
        <v>45726</v>
      </c>
      <c r="J98" s="156"/>
      <c r="K98" s="168">
        <f>I98</f>
        <v>45726</v>
      </c>
      <c r="L98" s="1138"/>
    </row>
    <row r="99" spans="2:12" x14ac:dyDescent="0.25">
      <c r="B99" s="246"/>
      <c r="C99" s="897"/>
      <c r="D99" s="148" t="s">
        <v>118</v>
      </c>
      <c r="E99" s="109"/>
      <c r="F99" s="109"/>
      <c r="G99" s="109"/>
      <c r="H99" s="109"/>
      <c r="I99" s="164">
        <f>'6A - 4%'!K96</f>
        <v>118003</v>
      </c>
      <c r="J99" s="156"/>
      <c r="K99" s="168">
        <v>0</v>
      </c>
      <c r="L99" s="1138"/>
    </row>
    <row r="100" spans="2:12" x14ac:dyDescent="0.25">
      <c r="B100" s="246"/>
      <c r="C100" s="897"/>
      <c r="D100" s="148" t="s">
        <v>227</v>
      </c>
      <c r="E100" s="109"/>
      <c r="F100" s="109"/>
      <c r="G100" s="109"/>
      <c r="H100" s="109"/>
      <c r="I100" s="164">
        <f>'6A - 4%'!K97</f>
        <v>0</v>
      </c>
      <c r="J100" s="156"/>
      <c r="K100" s="168"/>
      <c r="L100" s="1138"/>
    </row>
    <row r="101" spans="2:12" x14ac:dyDescent="0.25">
      <c r="B101" s="246"/>
      <c r="C101" s="897"/>
      <c r="D101" s="148" t="s">
        <v>228</v>
      </c>
      <c r="E101" s="109"/>
      <c r="F101" s="109"/>
      <c r="G101" s="109"/>
      <c r="H101" s="109"/>
      <c r="I101" s="164">
        <f>'6A - 4%'!K98</f>
        <v>848731</v>
      </c>
      <c r="J101" s="156"/>
      <c r="K101" s="168">
        <f>I101</f>
        <v>848731</v>
      </c>
      <c r="L101" s="1138"/>
    </row>
    <row r="102" spans="2:12" x14ac:dyDescent="0.25">
      <c r="B102" s="246"/>
      <c r="C102" s="897"/>
      <c r="D102" s="147" t="s">
        <v>229</v>
      </c>
      <c r="E102" s="109"/>
      <c r="F102" s="109"/>
      <c r="G102" s="109"/>
      <c r="H102" s="109"/>
      <c r="I102" s="164">
        <f>'6A - 4%'!K99</f>
        <v>0</v>
      </c>
      <c r="J102" s="156"/>
      <c r="K102" s="168"/>
      <c r="L102" s="1138"/>
    </row>
    <row r="103" spans="2:12" x14ac:dyDescent="0.25">
      <c r="B103" s="246"/>
      <c r="C103" s="897"/>
      <c r="D103" s="147" t="s">
        <v>230</v>
      </c>
      <c r="E103" s="109"/>
      <c r="F103" s="109"/>
      <c r="G103" s="109"/>
      <c r="H103" s="109"/>
      <c r="I103" s="164">
        <f>'6A - 4%'!K100</f>
        <v>0</v>
      </c>
      <c r="J103" s="156"/>
      <c r="K103" s="168"/>
      <c r="L103" s="1138"/>
    </row>
    <row r="104" spans="2:12" x14ac:dyDescent="0.25">
      <c r="B104" s="246"/>
      <c r="C104" s="897"/>
      <c r="D104" s="153" t="s">
        <v>231</v>
      </c>
      <c r="E104" s="109"/>
      <c r="F104" s="109"/>
      <c r="G104" s="109"/>
      <c r="H104" s="109"/>
      <c r="I104" s="164">
        <f>'6A - 4%'!K101</f>
        <v>0</v>
      </c>
      <c r="J104" s="207"/>
      <c r="K104" s="178"/>
      <c r="L104" s="1138"/>
    </row>
    <row r="105" spans="2:12" x14ac:dyDescent="0.25">
      <c r="B105" s="246"/>
      <c r="C105" s="897"/>
      <c r="D105" s="148" t="s">
        <v>232</v>
      </c>
      <c r="E105" s="109"/>
      <c r="F105" s="109"/>
      <c r="G105" s="109"/>
      <c r="H105" s="109"/>
      <c r="I105" s="164">
        <f>'6A - 4%'!K102</f>
        <v>7080</v>
      </c>
      <c r="J105" s="156"/>
      <c r="K105" s="168">
        <f>I105</f>
        <v>7080</v>
      </c>
      <c r="L105" s="1138"/>
    </row>
    <row r="106" spans="2:12" x14ac:dyDescent="0.25">
      <c r="B106" s="246"/>
      <c r="C106" s="897"/>
      <c r="D106" s="147" t="s">
        <v>233</v>
      </c>
      <c r="E106" s="109"/>
      <c r="F106" s="109"/>
      <c r="G106" s="109"/>
      <c r="H106" s="109"/>
      <c r="I106" s="164">
        <f>'6A - 4%'!K103</f>
        <v>8631</v>
      </c>
      <c r="J106" s="185"/>
      <c r="K106" s="186"/>
      <c r="L106" s="1138"/>
    </row>
    <row r="107" spans="2:12" x14ac:dyDescent="0.25">
      <c r="B107" s="246"/>
      <c r="C107" s="897"/>
      <c r="D107" s="154" t="s">
        <v>234</v>
      </c>
      <c r="E107" s="124"/>
      <c r="F107" s="117"/>
      <c r="G107" s="117"/>
      <c r="H107" s="117"/>
      <c r="I107" s="188">
        <f>'6A - 4%'!K104</f>
        <v>0</v>
      </c>
      <c r="J107" s="194"/>
      <c r="K107" s="195"/>
      <c r="L107" s="1138"/>
    </row>
    <row r="108" spans="2:12" ht="15.75" thickBot="1" x14ac:dyDescent="0.3">
      <c r="B108" s="246"/>
      <c r="C108" s="110"/>
      <c r="D108" s="109"/>
      <c r="E108" s="109"/>
      <c r="F108" s="897"/>
      <c r="G108" s="113" t="s">
        <v>174</v>
      </c>
      <c r="H108" s="157"/>
      <c r="I108" s="187">
        <f>SUM(I97:I107)</f>
        <v>1028171</v>
      </c>
      <c r="J108" s="161">
        <f>SUM(J97:J103)+J105</f>
        <v>0</v>
      </c>
      <c r="K108" s="170">
        <f>SUM(K97:K103)+K105</f>
        <v>901537</v>
      </c>
      <c r="L108" s="1138"/>
    </row>
    <row r="109" spans="2:12" ht="9" customHeight="1" thickBot="1" x14ac:dyDescent="0.3">
      <c r="B109" s="1142"/>
      <c r="C109" s="206"/>
      <c r="D109" s="123"/>
      <c r="E109" s="123"/>
      <c r="F109" s="122"/>
      <c r="G109" s="122"/>
      <c r="H109" s="122"/>
      <c r="I109" s="155"/>
      <c r="J109" s="155"/>
      <c r="K109" s="155"/>
      <c r="L109" s="1143"/>
    </row>
    <row r="110" spans="2:12" ht="15.75" thickBot="1" x14ac:dyDescent="0.3">
      <c r="B110" s="246"/>
      <c r="C110" s="143" t="s">
        <v>235</v>
      </c>
      <c r="D110" s="144"/>
      <c r="E110" s="144"/>
      <c r="F110" s="145"/>
      <c r="G110" s="145"/>
      <c r="H110" s="145"/>
      <c r="I110" s="138"/>
      <c r="J110" s="138"/>
      <c r="K110" s="138"/>
      <c r="L110" s="248"/>
    </row>
    <row r="111" spans="2:12" x14ac:dyDescent="0.25">
      <c r="B111" s="246"/>
      <c r="C111" s="247"/>
      <c r="D111" s="158" t="s">
        <v>236</v>
      </c>
      <c r="E111" s="113"/>
      <c r="F111" s="109"/>
      <c r="G111" s="109"/>
      <c r="H111" s="109"/>
      <c r="I111" s="162">
        <f>'6A - 4%'!K109</f>
        <v>50000</v>
      </c>
      <c r="J111" s="181"/>
      <c r="K111" s="182"/>
      <c r="L111" s="248"/>
    </row>
    <row r="112" spans="2:12" x14ac:dyDescent="0.25">
      <c r="B112" s="246"/>
      <c r="C112" s="247"/>
      <c r="D112" s="158" t="s">
        <v>237</v>
      </c>
      <c r="E112" s="113"/>
      <c r="F112" s="109"/>
      <c r="G112" s="109"/>
      <c r="H112" s="109"/>
      <c r="I112" s="164">
        <f>'6A - 4%'!K110</f>
        <v>40000</v>
      </c>
      <c r="J112" s="183"/>
      <c r="K112" s="184"/>
      <c r="L112" s="248"/>
    </row>
    <row r="113" spans="2:12" x14ac:dyDescent="0.25">
      <c r="B113" s="246"/>
      <c r="C113" s="897"/>
      <c r="D113" s="158" t="s">
        <v>238</v>
      </c>
      <c r="E113" s="113"/>
      <c r="F113" s="109"/>
      <c r="G113" s="109"/>
      <c r="H113" s="109"/>
      <c r="I113" s="164">
        <f>'6A - 4%'!K111</f>
        <v>0</v>
      </c>
      <c r="J113" s="183"/>
      <c r="K113" s="184"/>
      <c r="L113" s="1138"/>
    </row>
    <row r="114" spans="2:12" x14ac:dyDescent="0.25">
      <c r="B114" s="246"/>
      <c r="C114" s="897"/>
      <c r="D114" s="158" t="s">
        <v>239</v>
      </c>
      <c r="E114" s="113"/>
      <c r="F114" s="109"/>
      <c r="G114" s="109"/>
      <c r="H114" s="109"/>
      <c r="I114" s="164">
        <f>'6A - 4%'!K112</f>
        <v>0</v>
      </c>
      <c r="J114" s="183"/>
      <c r="K114" s="184"/>
      <c r="L114" s="1138"/>
    </row>
    <row r="115" spans="2:12" x14ac:dyDescent="0.25">
      <c r="B115" s="246"/>
      <c r="C115" s="897"/>
      <c r="D115" s="158" t="s">
        <v>240</v>
      </c>
      <c r="E115" s="113"/>
      <c r="F115" s="109"/>
      <c r="G115" s="109"/>
      <c r="H115" s="109"/>
      <c r="I115" s="164">
        <f>'6A - 4%'!K113</f>
        <v>0</v>
      </c>
      <c r="J115" s="183"/>
      <c r="K115" s="184"/>
      <c r="L115" s="1138"/>
    </row>
    <row r="116" spans="2:12" x14ac:dyDescent="0.25">
      <c r="B116" s="246"/>
      <c r="C116" s="897"/>
      <c r="D116" s="158" t="s">
        <v>241</v>
      </c>
      <c r="E116" s="113"/>
      <c r="F116" s="109"/>
      <c r="G116" s="109"/>
      <c r="H116" s="109"/>
      <c r="I116" s="164">
        <f>'6A - 4%'!K114</f>
        <v>0</v>
      </c>
      <c r="J116" s="183"/>
      <c r="K116" s="184"/>
      <c r="L116" s="1138"/>
    </row>
    <row r="117" spans="2:12" x14ac:dyDescent="0.25">
      <c r="B117" s="246"/>
      <c r="C117" s="897"/>
      <c r="D117" s="158" t="s">
        <v>242</v>
      </c>
      <c r="E117" s="113"/>
      <c r="F117" s="109"/>
      <c r="G117" s="109"/>
      <c r="H117" s="109"/>
      <c r="I117" s="188">
        <f>'6A - 4%'!K115</f>
        <v>0</v>
      </c>
      <c r="J117" s="194"/>
      <c r="K117" s="195"/>
      <c r="L117" s="1138"/>
    </row>
    <row r="118" spans="2:12" ht="15.75" thickBot="1" x14ac:dyDescent="0.3">
      <c r="B118" s="246"/>
      <c r="C118" s="110"/>
      <c r="D118" s="897"/>
      <c r="E118" s="109"/>
      <c r="F118" s="897"/>
      <c r="G118" s="113" t="s">
        <v>174</v>
      </c>
      <c r="H118" s="157"/>
      <c r="I118" s="187">
        <f>SUM(I111:I117)</f>
        <v>90000</v>
      </c>
      <c r="J118" s="161">
        <v>0</v>
      </c>
      <c r="K118" s="170">
        <v>0</v>
      </c>
      <c r="L118" s="1138"/>
    </row>
    <row r="119" spans="2:12" ht="7.5" customHeight="1" thickBot="1" x14ac:dyDescent="0.3">
      <c r="B119" s="246"/>
      <c r="C119" s="131"/>
      <c r="D119" s="130"/>
      <c r="E119" s="130"/>
      <c r="F119" s="132"/>
      <c r="G119" s="132"/>
      <c r="H119" s="132"/>
      <c r="I119" s="142"/>
      <c r="J119" s="142"/>
      <c r="K119" s="142"/>
      <c r="L119" s="1138"/>
    </row>
    <row r="120" spans="2:12" ht="15.75" thickBot="1" x14ac:dyDescent="0.3">
      <c r="B120" s="246"/>
      <c r="C120" s="173" t="s">
        <v>256</v>
      </c>
      <c r="D120" s="174"/>
      <c r="E120" s="174"/>
      <c r="F120" s="174"/>
      <c r="G120" s="174"/>
      <c r="H120" s="174"/>
      <c r="I120" s="165">
        <f>I29+I48+I64+I69+I77+I88+I94+I108+I118</f>
        <v>23156305</v>
      </c>
      <c r="J120" s="160">
        <f>J29+J48+J64+J69+J77+J88+J94+J108+J118</f>
        <v>0</v>
      </c>
      <c r="K120" s="172">
        <f>K29+K48+K64+K69+K77+K88+K94+K108+K118</f>
        <v>19394845</v>
      </c>
      <c r="L120" s="1138"/>
    </row>
    <row r="121" spans="2:12" ht="7.5" customHeight="1" x14ac:dyDescent="0.25">
      <c r="B121" s="246"/>
      <c r="C121" s="247"/>
      <c r="D121" s="247"/>
      <c r="E121" s="247"/>
      <c r="F121" s="247"/>
      <c r="G121" s="247"/>
      <c r="H121" s="247"/>
      <c r="I121" s="897"/>
      <c r="J121" s="897"/>
      <c r="K121" s="897"/>
      <c r="L121" s="1138"/>
    </row>
    <row r="122" spans="2:12" x14ac:dyDescent="0.25">
      <c r="B122" s="246"/>
      <c r="C122" s="2301" t="s">
        <v>257</v>
      </c>
      <c r="D122" s="2302"/>
      <c r="E122" s="2302"/>
      <c r="F122" s="2302"/>
      <c r="G122" s="2302"/>
      <c r="H122" s="2302"/>
      <c r="I122" s="2302"/>
      <c r="J122" s="2302"/>
      <c r="K122" s="2303"/>
      <c r="L122" s="1138"/>
    </row>
    <row r="123" spans="2:12" x14ac:dyDescent="0.25">
      <c r="B123" s="246"/>
      <c r="C123" s="2304"/>
      <c r="D123" s="2305"/>
      <c r="E123" s="2305"/>
      <c r="F123" s="2305"/>
      <c r="G123" s="2305"/>
      <c r="H123" s="2305"/>
      <c r="I123" s="2305"/>
      <c r="J123" s="2305"/>
      <c r="K123" s="2306"/>
      <c r="L123" s="1138"/>
    </row>
    <row r="124" spans="2:12" x14ac:dyDescent="0.25">
      <c r="B124" s="246"/>
      <c r="C124" s="2307"/>
      <c r="D124" s="2308"/>
      <c r="E124" s="2308"/>
      <c r="F124" s="2308"/>
      <c r="G124" s="2308"/>
      <c r="H124" s="2308"/>
      <c r="I124" s="2308"/>
      <c r="J124" s="2308"/>
      <c r="K124" s="2309"/>
      <c r="L124" s="1138"/>
    </row>
    <row r="125" spans="2:12" ht="9" customHeight="1" thickBot="1" x14ac:dyDescent="0.3">
      <c r="B125" s="1144"/>
      <c r="C125" s="1145"/>
      <c r="D125" s="1145"/>
      <c r="E125" s="1145"/>
      <c r="F125" s="1145"/>
      <c r="G125" s="1145"/>
      <c r="H125" s="1145"/>
      <c r="I125" s="1145"/>
      <c r="J125" s="1145"/>
      <c r="K125" s="1145"/>
      <c r="L125" s="1143"/>
    </row>
  </sheetData>
  <sheetProtection password="9F6B" sheet="1" objects="1" scenarios="1" formatCells="0" formatColumns="0" formatRows="0"/>
  <mergeCells count="14">
    <mergeCell ref="C11:K11"/>
    <mergeCell ref="F13:K13"/>
    <mergeCell ref="I17:K17"/>
    <mergeCell ref="C122:K124"/>
    <mergeCell ref="J18:K18"/>
    <mergeCell ref="J19:J21"/>
    <mergeCell ref="I18:I21"/>
    <mergeCell ref="K19:K21"/>
    <mergeCell ref="E87:G87"/>
    <mergeCell ref="E28:G28"/>
    <mergeCell ref="E47:G47"/>
    <mergeCell ref="E63:G63"/>
    <mergeCell ref="E93:G93"/>
    <mergeCell ref="F15:K15"/>
  </mergeCells>
  <pageMargins left="0.7" right="0.7" top="0.75" bottom="0.75" header="0.3" footer="0.3"/>
  <pageSetup scale="84" fitToHeight="2" orientation="portrait" r:id="rId1"/>
  <headerFooter>
    <oddFooter>&amp;LForm 6C(a)
LIHTC Budget (Basis Calculation)&amp;CCFA Forms&amp;REdition: 2015
Version: 1.1</oddFooter>
  </headerFooter>
  <rowBreaks count="2" manualBreakCount="2">
    <brk id="65" min="1" max="11" man="1"/>
    <brk id="109" min="1" max="1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K55"/>
  <sheetViews>
    <sheetView showGridLines="0" zoomScaleNormal="100" workbookViewId="0">
      <selection activeCell="W43" sqref="W43"/>
    </sheetView>
  </sheetViews>
  <sheetFormatPr defaultRowHeight="15" x14ac:dyDescent="0.25"/>
  <cols>
    <col min="1" max="2" width="1.7109375" style="844" customWidth="1"/>
    <col min="3" max="3" width="2.85546875" style="844" customWidth="1"/>
    <col min="4" max="4" width="14.28515625" style="844" customWidth="1"/>
    <col min="5" max="5" width="48.42578125" style="844" customWidth="1"/>
    <col min="6" max="7" width="11.42578125" style="844" customWidth="1"/>
    <col min="8" max="8" width="1.7109375" style="844" customWidth="1"/>
    <col min="9" max="16384" width="9.140625" style="844"/>
  </cols>
  <sheetData>
    <row r="5" spans="2:8" ht="9" customHeight="1" thickBot="1" x14ac:dyDescent="0.3"/>
    <row r="6" spans="2:8" ht="9" customHeight="1" x14ac:dyDescent="0.25">
      <c r="B6" s="1146"/>
      <c r="C6" s="1147"/>
      <c r="D6" s="1147"/>
      <c r="E6" s="1148"/>
      <c r="F6" s="1148"/>
      <c r="G6" s="1148"/>
      <c r="H6" s="1149"/>
    </row>
    <row r="7" spans="2:8" ht="18.75" x14ac:dyDescent="0.3">
      <c r="B7" s="1150"/>
      <c r="C7" s="2323" t="s">
        <v>1377</v>
      </c>
      <c r="D7" s="2323"/>
      <c r="E7" s="2323"/>
      <c r="F7" s="2323"/>
      <c r="G7" s="2323"/>
      <c r="H7" s="1151"/>
    </row>
    <row r="8" spans="2:8" x14ac:dyDescent="0.25">
      <c r="B8" s="1150"/>
      <c r="C8" s="1152"/>
      <c r="D8" s="1152"/>
      <c r="E8" s="1153"/>
      <c r="F8" s="1153"/>
      <c r="G8" s="1153"/>
      <c r="H8" s="1151"/>
    </row>
    <row r="9" spans="2:8" x14ac:dyDescent="0.25">
      <c r="B9" s="1150"/>
      <c r="C9" s="1152"/>
      <c r="D9" s="1154" t="s">
        <v>1</v>
      </c>
      <c r="E9" s="1122" t="str">
        <f>IF('1A'!G5="","Enter Project Name on Form 1A",'1A'!G5)</f>
        <v>University District Apartments</v>
      </c>
      <c r="F9" s="1122"/>
      <c r="G9" s="1121"/>
      <c r="H9" s="1155"/>
    </row>
    <row r="10" spans="2:8" ht="3.75" customHeight="1" x14ac:dyDescent="0.25">
      <c r="B10" s="1150"/>
      <c r="C10" s="1152"/>
      <c r="D10" s="1152"/>
      <c r="E10" s="274"/>
      <c r="F10" s="276"/>
      <c r="G10" s="277"/>
      <c r="H10" s="1156"/>
    </row>
    <row r="11" spans="2:8" x14ac:dyDescent="0.25">
      <c r="B11" s="1150"/>
      <c r="C11" s="1152"/>
      <c r="D11" s="1154" t="s">
        <v>1397</v>
      </c>
      <c r="E11" s="1822" t="str">
        <f>IF('1A'!G29="","Enter Site Name on Form 1A",'1A'!G29)</f>
        <v>Project A-  4%</v>
      </c>
      <c r="F11" s="1822"/>
      <c r="G11" s="1121"/>
      <c r="H11" s="1155"/>
    </row>
    <row r="12" spans="2:8" ht="7.5" customHeight="1" x14ac:dyDescent="0.25">
      <c r="B12" s="1150"/>
      <c r="C12" s="1152"/>
      <c r="D12" s="1152"/>
      <c r="E12" s="274"/>
      <c r="F12" s="276"/>
      <c r="G12" s="277"/>
      <c r="H12" s="1156"/>
    </row>
    <row r="13" spans="2:8" x14ac:dyDescent="0.25">
      <c r="B13" s="1150"/>
      <c r="C13" s="274" t="s">
        <v>258</v>
      </c>
      <c r="D13" s="274"/>
      <c r="E13" s="1157"/>
      <c r="F13" s="276"/>
      <c r="G13" s="277"/>
      <c r="H13" s="1156"/>
    </row>
    <row r="14" spans="2:8" ht="30" customHeight="1" x14ac:dyDescent="0.25">
      <c r="B14" s="1150"/>
      <c r="C14" s="1152"/>
      <c r="D14" s="2324" t="s">
        <v>259</v>
      </c>
      <c r="E14" s="2324"/>
      <c r="F14" s="2058" t="s">
        <v>1408</v>
      </c>
      <c r="H14" s="1156"/>
    </row>
    <row r="15" spans="2:8" ht="15.75" thickBot="1" x14ac:dyDescent="0.3">
      <c r="B15" s="1150"/>
      <c r="C15" s="1152"/>
      <c r="D15" s="1152"/>
      <c r="E15" s="274"/>
      <c r="F15" s="276"/>
      <c r="G15" s="276"/>
      <c r="H15" s="1156"/>
    </row>
    <row r="16" spans="2:8" ht="36.75" thickBot="1" x14ac:dyDescent="0.3">
      <c r="B16" s="1150"/>
      <c r="C16" s="1152"/>
      <c r="D16" s="1152"/>
      <c r="E16" s="274"/>
      <c r="F16" s="278" t="s">
        <v>23</v>
      </c>
      <c r="G16" s="279" t="s">
        <v>252</v>
      </c>
      <c r="H16" s="1156"/>
    </row>
    <row r="17" spans="2:8" ht="15.75" thickBot="1" x14ac:dyDescent="0.3">
      <c r="B17" s="1150"/>
      <c r="C17" s="280" t="s">
        <v>260</v>
      </c>
      <c r="D17" s="280"/>
      <c r="E17" s="281"/>
      <c r="F17" s="1158"/>
      <c r="G17" s="1158"/>
      <c r="H17" s="1156"/>
    </row>
    <row r="18" spans="2:8" x14ac:dyDescent="0.25">
      <c r="B18" s="1150"/>
      <c r="C18" s="274"/>
      <c r="D18" s="282" t="s">
        <v>261</v>
      </c>
      <c r="E18" s="1157"/>
      <c r="F18" s="283">
        <f>'6C- 4%'!J120</f>
        <v>0</v>
      </c>
      <c r="G18" s="284">
        <f>'6C- 4%'!K120</f>
        <v>19394845</v>
      </c>
      <c r="H18" s="1156"/>
    </row>
    <row r="19" spans="2:8" x14ac:dyDescent="0.25">
      <c r="B19" s="1150"/>
      <c r="C19" s="274"/>
      <c r="D19" s="275" t="s">
        <v>262</v>
      </c>
      <c r="E19" s="1157"/>
      <c r="F19" s="1612"/>
      <c r="G19" s="1159"/>
      <c r="H19" s="1156"/>
    </row>
    <row r="20" spans="2:8" x14ac:dyDescent="0.25">
      <c r="B20" s="1150"/>
      <c r="C20" s="274"/>
      <c r="D20" s="275" t="s">
        <v>263</v>
      </c>
      <c r="E20" s="1157"/>
      <c r="F20" s="1612"/>
      <c r="G20" s="1614"/>
      <c r="H20" s="1156"/>
    </row>
    <row r="21" spans="2:8" ht="30" customHeight="1" x14ac:dyDescent="0.25">
      <c r="B21" s="1150"/>
      <c r="C21" s="274"/>
      <c r="D21" s="2324" t="s">
        <v>264</v>
      </c>
      <c r="E21" s="2325"/>
      <c r="F21" s="1612"/>
      <c r="G21" s="1614"/>
      <c r="H21" s="1156"/>
    </row>
    <row r="22" spans="2:8" x14ac:dyDescent="0.25">
      <c r="B22" s="1150"/>
      <c r="C22" s="274"/>
      <c r="D22" s="285" t="s">
        <v>265</v>
      </c>
      <c r="E22" s="1160"/>
      <c r="F22" s="1613"/>
      <c r="G22" s="1615"/>
      <c r="H22" s="1156"/>
    </row>
    <row r="23" spans="2:8" ht="15.75" thickBot="1" x14ac:dyDescent="0.3">
      <c r="B23" s="1150"/>
      <c r="C23" s="274"/>
      <c r="D23" s="282" t="s">
        <v>266</v>
      </c>
      <c r="E23" s="1157"/>
      <c r="F23" s="286">
        <f>F18-(SUM(F19:F22))</f>
        <v>0</v>
      </c>
      <c r="G23" s="287">
        <f>G18-(SUM(G20:G22))</f>
        <v>19394845</v>
      </c>
      <c r="H23" s="1156"/>
    </row>
    <row r="24" spans="2:8" ht="15.75" thickBot="1" x14ac:dyDescent="0.3">
      <c r="B24" s="1150"/>
      <c r="C24" s="274"/>
      <c r="D24" s="275"/>
      <c r="E24" s="1157"/>
      <c r="F24" s="277"/>
      <c r="G24" s="276"/>
      <c r="H24" s="1156"/>
    </row>
    <row r="25" spans="2:8" x14ac:dyDescent="0.25">
      <c r="B25" s="1150"/>
      <c r="C25" s="274"/>
      <c r="D25" s="276" t="s">
        <v>266</v>
      </c>
      <c r="E25" s="1157"/>
      <c r="F25" s="288">
        <f>F23</f>
        <v>0</v>
      </c>
      <c r="G25" s="289">
        <f>G23</f>
        <v>19394845</v>
      </c>
      <c r="H25" s="1156"/>
    </row>
    <row r="26" spans="2:8" x14ac:dyDescent="0.25">
      <c r="B26" s="1150"/>
      <c r="C26" s="274"/>
      <c r="D26" s="276" t="s">
        <v>267</v>
      </c>
      <c r="E26" s="1157"/>
      <c r="F26" s="1768">
        <v>1</v>
      </c>
      <c r="G26" s="1769">
        <f>IF(F14="Yes",130%,100%)</f>
        <v>1.3</v>
      </c>
      <c r="H26" s="1156"/>
    </row>
    <row r="27" spans="2:8" x14ac:dyDescent="0.25">
      <c r="B27" s="1150"/>
      <c r="C27" s="274"/>
      <c r="D27" s="290" t="s">
        <v>268</v>
      </c>
      <c r="E27" s="1160"/>
      <c r="F27" s="2056">
        <v>1</v>
      </c>
      <c r="G27" s="2057">
        <v>1</v>
      </c>
      <c r="H27" s="1156"/>
    </row>
    <row r="28" spans="2:8" ht="15.75" thickBot="1" x14ac:dyDescent="0.3">
      <c r="B28" s="1150"/>
      <c r="C28" s="274"/>
      <c r="D28" s="291" t="s">
        <v>269</v>
      </c>
      <c r="E28" s="1157"/>
      <c r="F28" s="292">
        <f>(F25*F26)*F27</f>
        <v>0</v>
      </c>
      <c r="G28" s="293">
        <f>(G25*G26)*G27</f>
        <v>25213298.5</v>
      </c>
      <c r="H28" s="1156"/>
    </row>
    <row r="29" spans="2:8" ht="15.75" thickBot="1" x14ac:dyDescent="0.3">
      <c r="B29" s="1150"/>
      <c r="C29" s="274"/>
      <c r="D29" s="275"/>
      <c r="E29" s="1157"/>
      <c r="F29" s="276"/>
      <c r="G29" s="276"/>
      <c r="H29" s="1156"/>
    </row>
    <row r="30" spans="2:8" x14ac:dyDescent="0.25">
      <c r="B30" s="1150"/>
      <c r="C30" s="274"/>
      <c r="D30" s="275" t="s">
        <v>269</v>
      </c>
      <c r="E30" s="1157"/>
      <c r="F30" s="288">
        <f>F28</f>
        <v>0</v>
      </c>
      <c r="G30" s="289">
        <f>G28</f>
        <v>25213298.5</v>
      </c>
      <c r="H30" s="1156"/>
    </row>
    <row r="31" spans="2:8" x14ac:dyDescent="0.25">
      <c r="B31" s="1150"/>
      <c r="C31" s="274"/>
      <c r="D31" s="285" t="s">
        <v>270</v>
      </c>
      <c r="E31" s="1157"/>
      <c r="F31" s="2054">
        <v>3.2199999999999999E-2</v>
      </c>
      <c r="G31" s="2055">
        <v>3.2099999999999997E-2</v>
      </c>
      <c r="H31" s="1156"/>
    </row>
    <row r="32" spans="2:8" ht="15.75" thickBot="1" x14ac:dyDescent="0.3">
      <c r="B32" s="1150"/>
      <c r="C32" s="274"/>
      <c r="D32" s="282" t="s">
        <v>271</v>
      </c>
      <c r="E32" s="1157"/>
      <c r="F32" s="286">
        <f>F30*F31</f>
        <v>0</v>
      </c>
      <c r="G32" s="287">
        <f>G30*G31</f>
        <v>809346.88184999989</v>
      </c>
      <c r="H32" s="1156"/>
    </row>
    <row r="33" spans="2:11" ht="15" customHeight="1" thickBot="1" x14ac:dyDescent="0.3">
      <c r="B33" s="1150"/>
      <c r="C33" s="274"/>
      <c r="D33" s="275"/>
      <c r="E33" s="1157"/>
      <c r="F33" s="276"/>
      <c r="G33" s="276"/>
      <c r="H33" s="1156"/>
      <c r="K33" s="1832"/>
    </row>
    <row r="34" spans="2:11" ht="15.75" thickBot="1" x14ac:dyDescent="0.3">
      <c r="B34" s="1150"/>
      <c r="C34" s="274"/>
      <c r="D34" s="282" t="s">
        <v>650</v>
      </c>
      <c r="E34" s="1157"/>
      <c r="F34" s="276"/>
      <c r="G34" s="294">
        <f>F32+G32</f>
        <v>809346.88184999989</v>
      </c>
      <c r="H34" s="1156"/>
    </row>
    <row r="35" spans="2:11" x14ac:dyDescent="0.25">
      <c r="B35" s="1150"/>
      <c r="C35" s="274"/>
      <c r="D35" s="274"/>
      <c r="E35" s="275"/>
      <c r="F35" s="276"/>
      <c r="G35" s="276"/>
      <c r="H35" s="1156"/>
    </row>
    <row r="36" spans="2:11" ht="15.75" thickBot="1" x14ac:dyDescent="0.3">
      <c r="B36" s="1150"/>
      <c r="C36" s="295" t="s">
        <v>272</v>
      </c>
      <c r="D36" s="295"/>
      <c r="E36" s="296"/>
      <c r="F36" s="297"/>
      <c r="G36" s="298"/>
      <c r="H36" s="1156"/>
    </row>
    <row r="37" spans="2:11" x14ac:dyDescent="0.25">
      <c r="B37" s="1150"/>
      <c r="C37" s="274"/>
      <c r="D37" s="275" t="s">
        <v>728</v>
      </c>
      <c r="E37" s="1157"/>
      <c r="F37" s="276"/>
      <c r="G37" s="299">
        <f>'6A - 4%'!K118</f>
        <v>23156305</v>
      </c>
      <c r="H37" s="300"/>
    </row>
    <row r="38" spans="2:11" x14ac:dyDescent="0.25">
      <c r="B38" s="1150"/>
      <c r="C38" s="274"/>
      <c r="D38" s="285" t="s">
        <v>651</v>
      </c>
      <c r="E38" s="1161"/>
      <c r="F38" s="765"/>
      <c r="G38" s="301">
        <f>-('7A - 4%'!F32)</f>
        <v>-14820033</v>
      </c>
      <c r="H38" s="1156"/>
    </row>
    <row r="39" spans="2:11" ht="15.75" thickBot="1" x14ac:dyDescent="0.3">
      <c r="B39" s="1150"/>
      <c r="C39" s="274"/>
      <c r="D39" s="282" t="s">
        <v>273</v>
      </c>
      <c r="E39" s="1157"/>
      <c r="F39" s="291"/>
      <c r="G39" s="302">
        <f>G37+G38</f>
        <v>8336272</v>
      </c>
      <c r="H39" s="1156"/>
    </row>
    <row r="40" spans="2:11" ht="15.75" thickBot="1" x14ac:dyDescent="0.3">
      <c r="B40" s="1150"/>
      <c r="C40" s="274"/>
      <c r="D40" s="275"/>
      <c r="E40" s="1157"/>
      <c r="F40" s="276"/>
      <c r="G40" s="277"/>
      <c r="H40" s="1156"/>
    </row>
    <row r="41" spans="2:11" x14ac:dyDescent="0.25">
      <c r="B41" s="1150"/>
      <c r="C41" s="274"/>
      <c r="D41" s="275" t="s">
        <v>273</v>
      </c>
      <c r="E41" s="1157"/>
      <c r="F41" s="276"/>
      <c r="G41" s="303">
        <f>G39</f>
        <v>8336272</v>
      </c>
      <c r="H41" s="1156"/>
    </row>
    <row r="42" spans="2:11" ht="15.75" thickBot="1" x14ac:dyDescent="0.3">
      <c r="B42" s="1150"/>
      <c r="C42" s="274"/>
      <c r="D42" s="275" t="s">
        <v>652</v>
      </c>
      <c r="E42" s="1157"/>
      <c r="F42" s="276"/>
      <c r="G42" s="1766">
        <v>1.03</v>
      </c>
      <c r="H42" s="1156"/>
    </row>
    <row r="43" spans="2:11" ht="15.75" thickBot="1" x14ac:dyDescent="0.3">
      <c r="B43" s="1150"/>
      <c r="C43" s="274"/>
      <c r="D43" s="304" t="s">
        <v>274</v>
      </c>
      <c r="E43" s="1161"/>
      <c r="F43" s="290"/>
      <c r="G43" s="1767">
        <v>10</v>
      </c>
      <c r="H43" s="1156"/>
    </row>
    <row r="44" spans="2:11" ht="15.75" thickBot="1" x14ac:dyDescent="0.3">
      <c r="B44" s="1150"/>
      <c r="C44" s="274"/>
      <c r="D44" s="305" t="s">
        <v>275</v>
      </c>
      <c r="E44" s="1157"/>
      <c r="F44" s="276"/>
      <c r="G44" s="306">
        <f>G41/G42/G43</f>
        <v>809346.79611650482</v>
      </c>
      <c r="H44" s="1156"/>
    </row>
    <row r="45" spans="2:11" x14ac:dyDescent="0.25">
      <c r="B45" s="1150"/>
      <c r="C45" s="274"/>
      <c r="D45" s="274"/>
      <c r="E45" s="275"/>
      <c r="F45" s="276"/>
      <c r="G45" s="277"/>
      <c r="H45" s="1156"/>
    </row>
    <row r="46" spans="2:11" x14ac:dyDescent="0.25">
      <c r="B46" s="1150"/>
      <c r="C46" s="274" t="s">
        <v>276</v>
      </c>
      <c r="D46" s="274"/>
      <c r="E46" s="275"/>
      <c r="F46" s="276"/>
      <c r="G46" s="1616" t="s">
        <v>1408</v>
      </c>
      <c r="H46" s="1156"/>
    </row>
    <row r="47" spans="2:11" x14ac:dyDescent="0.25">
      <c r="B47" s="1150"/>
      <c r="C47" s="274"/>
      <c r="D47" s="274"/>
      <c r="E47" s="275"/>
      <c r="F47" s="276"/>
      <c r="G47" s="277"/>
      <c r="H47" s="1156"/>
    </row>
    <row r="48" spans="2:11" ht="15.75" thickBot="1" x14ac:dyDescent="0.3">
      <c r="B48" s="1150"/>
      <c r="C48" s="295" t="s">
        <v>277</v>
      </c>
      <c r="D48" s="295"/>
      <c r="E48" s="296"/>
      <c r="F48" s="297"/>
      <c r="G48" s="276"/>
      <c r="H48" s="307"/>
    </row>
    <row r="49" spans="2:8" x14ac:dyDescent="0.25">
      <c r="B49" s="1150"/>
      <c r="C49" s="274"/>
      <c r="D49" s="275" t="s">
        <v>278</v>
      </c>
      <c r="E49" s="1157"/>
      <c r="F49" s="276"/>
      <c r="G49" s="2059">
        <f>'1B - 4%'!L20</f>
        <v>79</v>
      </c>
      <c r="H49" s="307"/>
    </row>
    <row r="50" spans="2:8" x14ac:dyDescent="0.25">
      <c r="B50" s="1150"/>
      <c r="C50" s="274"/>
      <c r="D50" s="285" t="s">
        <v>1261</v>
      </c>
      <c r="E50" s="1161"/>
      <c r="F50" s="765"/>
      <c r="G50" s="301">
        <f>IF(G46="Yes",20510,15808)</f>
        <v>20510</v>
      </c>
      <c r="H50" s="307"/>
    </row>
    <row r="51" spans="2:8" ht="15.75" thickBot="1" x14ac:dyDescent="0.3">
      <c r="B51" s="1150"/>
      <c r="C51" s="274"/>
      <c r="D51" s="282" t="s">
        <v>279</v>
      </c>
      <c r="E51" s="1157"/>
      <c r="F51" s="276"/>
      <c r="G51" s="306">
        <f>G49*G50</f>
        <v>1620290</v>
      </c>
      <c r="H51" s="307"/>
    </row>
    <row r="52" spans="2:8" x14ac:dyDescent="0.25">
      <c r="B52" s="1150"/>
      <c r="C52" s="1152"/>
      <c r="D52" s="1152"/>
      <c r="E52" s="274"/>
      <c r="F52" s="276"/>
      <c r="G52" s="276"/>
      <c r="H52" s="300"/>
    </row>
    <row r="53" spans="2:8" ht="15.75" thickBot="1" x14ac:dyDescent="0.3">
      <c r="B53" s="1150"/>
      <c r="C53" s="1152"/>
      <c r="D53" s="1152"/>
      <c r="E53" s="274"/>
      <c r="F53" s="276"/>
      <c r="G53" s="276"/>
      <c r="H53" s="307"/>
    </row>
    <row r="54" spans="2:8" ht="16.5" thickTop="1" thickBot="1" x14ac:dyDescent="0.3">
      <c r="B54" s="1150"/>
      <c r="C54" s="1152"/>
      <c r="D54" s="1152"/>
      <c r="E54" s="308" t="s">
        <v>280</v>
      </c>
      <c r="F54" s="309"/>
      <c r="G54" s="310">
        <f>MIN(G34,G44,G51)</f>
        <v>809346.79611650482</v>
      </c>
      <c r="H54" s="1156"/>
    </row>
    <row r="55" spans="2:8" ht="9" customHeight="1" thickBot="1" x14ac:dyDescent="0.3">
      <c r="B55" s="1162"/>
      <c r="C55" s="1163"/>
      <c r="D55" s="1163"/>
      <c r="E55" s="2326"/>
      <c r="F55" s="2326"/>
      <c r="G55" s="2327"/>
      <c r="H55" s="1164"/>
    </row>
  </sheetData>
  <sheetProtection password="9F6B" sheet="1" objects="1" scenarios="1" formatCells="0" formatColumns="0" formatRows="0"/>
  <mergeCells count="4">
    <mergeCell ref="C7:G7"/>
    <mergeCell ref="D21:E21"/>
    <mergeCell ref="E55:G55"/>
    <mergeCell ref="D14:E14"/>
  </mergeCells>
  <conditionalFormatting sqref="F14">
    <cfRule type="cellIs" dxfId="19" priority="3" operator="equal">
      <formula>"Yes"</formula>
    </cfRule>
    <cfRule type="cellIs" dxfId="18" priority="4" operator="equal">
      <formula>"No"</formula>
    </cfRule>
  </conditionalFormatting>
  <conditionalFormatting sqref="G46">
    <cfRule type="cellIs" dxfId="17" priority="1" operator="equal">
      <formula>"Yes"</formula>
    </cfRule>
    <cfRule type="cellIs" dxfId="16" priority="2" operator="equal">
      <formula>"No"</formula>
    </cfRule>
  </conditionalFormatting>
  <dataValidations count="2">
    <dataValidation type="list" allowBlank="1" showInputMessage="1" showErrorMessage="1" promptTitle="Basis Boost" prompt="Select &quot;Yes&quot; or &quot;No&quot; for form to calculate correctly" sqref="F14">
      <formula1>"Yes,No"</formula1>
    </dataValidation>
    <dataValidation type="list" allowBlank="1" showInputMessage="1" showErrorMessage="1" sqref="G46">
      <formula1>"Yes,No"</formula1>
    </dataValidation>
  </dataValidations>
  <pageMargins left="0.7" right="0.4" top="0.7" bottom="0.7" header="0.3" footer="0.3"/>
  <pageSetup scale="90" orientation="portrait" r:id="rId1"/>
  <headerFooter>
    <oddFooter>&amp;LForm 6D(a)
LIHTC Calculation&amp;CCFA Forms&amp;REdition: 2015
Version: 1.1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opLeftCell="B1" zoomScaleNormal="100" workbookViewId="0">
      <selection activeCell="H38" sqref="H38"/>
    </sheetView>
  </sheetViews>
  <sheetFormatPr defaultRowHeight="15" x14ac:dyDescent="0.25"/>
  <cols>
    <col min="1" max="2" width="1.7109375" style="838" customWidth="1"/>
    <col min="3" max="3" width="2.85546875" style="838" customWidth="1"/>
    <col min="4" max="4" width="14.28515625" style="838" customWidth="1"/>
    <col min="5" max="5" width="9.140625" style="838"/>
    <col min="6" max="6" width="4.28515625" style="838" customWidth="1"/>
    <col min="7" max="7" width="4.28515625" style="838" bestFit="1" customWidth="1"/>
    <col min="8" max="8" width="11.42578125" style="838" customWidth="1"/>
    <col min="9" max="9" width="15.42578125" style="838" customWidth="1"/>
    <col min="10" max="10" width="41.85546875" style="918" customWidth="1"/>
    <col min="11" max="11" width="1.7109375" style="918" customWidth="1"/>
    <col min="12" max="16384" width="9.140625" style="838"/>
  </cols>
  <sheetData>
    <row r="1" spans="2:11" ht="15.75" thickBot="1" x14ac:dyDescent="0.3"/>
    <row r="2" spans="2:11" s="918" customFormat="1" x14ac:dyDescent="0.25">
      <c r="B2" s="1168"/>
      <c r="C2" s="1395"/>
      <c r="D2" s="1395"/>
      <c r="E2" s="1395"/>
      <c r="F2" s="1395"/>
      <c r="G2" s="1395"/>
      <c r="H2" s="1395"/>
      <c r="I2" s="1395"/>
      <c r="J2" s="1395"/>
      <c r="K2" s="1169"/>
    </row>
    <row r="3" spans="2:11" s="918" customFormat="1" ht="18.75" x14ac:dyDescent="0.3">
      <c r="B3" s="1170"/>
      <c r="C3" s="2106" t="s">
        <v>1378</v>
      </c>
      <c r="D3" s="2106"/>
      <c r="E3" s="2106"/>
      <c r="F3" s="2106"/>
      <c r="G3" s="2106"/>
      <c r="H3" s="2106"/>
      <c r="I3" s="2106"/>
      <c r="J3" s="2106"/>
      <c r="K3" s="1171"/>
    </row>
    <row r="4" spans="2:11" s="918" customFormat="1" x14ac:dyDescent="0.25">
      <c r="B4" s="1170"/>
      <c r="C4" s="354"/>
      <c r="D4" s="354"/>
      <c r="E4" s="354"/>
      <c r="F4" s="354"/>
      <c r="G4" s="354"/>
      <c r="H4" s="354"/>
      <c r="I4" s="354"/>
      <c r="J4" s="354"/>
      <c r="K4" s="1171"/>
    </row>
    <row r="5" spans="2:11" s="918" customFormat="1" x14ac:dyDescent="0.25">
      <c r="B5" s="1170"/>
      <c r="C5" s="821"/>
      <c r="D5" s="257" t="s">
        <v>1</v>
      </c>
      <c r="E5" s="1139" t="str">
        <f>IF('1A'!G5="","Enter Project Name on Form 1A",'1A'!G5)</f>
        <v>University District Apartments</v>
      </c>
      <c r="F5" s="1403"/>
      <c r="G5" s="1403"/>
      <c r="H5" s="1403"/>
      <c r="I5" s="1403"/>
      <c r="J5" s="1403"/>
      <c r="K5" s="1171"/>
    </row>
    <row r="6" spans="2:11" s="918" customFormat="1" ht="3.75" customHeight="1" x14ac:dyDescent="0.25">
      <c r="B6" s="1170"/>
      <c r="C6" s="354"/>
      <c r="D6" s="354"/>
      <c r="E6" s="354"/>
      <c r="F6" s="354"/>
      <c r="G6" s="354"/>
      <c r="H6" s="354"/>
      <c r="I6" s="354"/>
      <c r="J6" s="354"/>
      <c r="K6" s="1171"/>
    </row>
    <row r="7" spans="2:11" s="918" customFormat="1" x14ac:dyDescent="0.25">
      <c r="B7" s="1170"/>
      <c r="C7" s="821"/>
      <c r="D7" s="257" t="s">
        <v>1397</v>
      </c>
      <c r="E7" s="1822" t="str">
        <f>IF('1A'!G29="","Enter Site Name on Form 1A",'1A'!G29)</f>
        <v>Project A-  4%</v>
      </c>
      <c r="F7" s="1826"/>
      <c r="G7" s="1826"/>
      <c r="H7" s="1826"/>
      <c r="I7" s="1826"/>
      <c r="J7" s="1826"/>
      <c r="K7" s="1171"/>
    </row>
    <row r="8" spans="2:11" s="918" customFormat="1" ht="7.5" customHeight="1" thickBot="1" x14ac:dyDescent="0.3">
      <c r="B8" s="1170"/>
      <c r="C8" s="942"/>
      <c r="D8" s="942"/>
      <c r="E8" s="942"/>
      <c r="F8" s="942"/>
      <c r="G8" s="942"/>
      <c r="H8" s="942"/>
      <c r="I8" s="942"/>
      <c r="J8" s="942"/>
      <c r="K8" s="1171"/>
    </row>
    <row r="9" spans="2:11" s="918" customFormat="1" ht="15.75" thickBot="1" x14ac:dyDescent="0.3">
      <c r="B9" s="1170"/>
      <c r="C9" s="1172" t="s">
        <v>281</v>
      </c>
      <c r="D9" s="1647"/>
      <c r="E9" s="1647"/>
      <c r="F9" s="1633" t="s">
        <v>282</v>
      </c>
      <c r="G9" s="1634" t="s">
        <v>283</v>
      </c>
      <c r="H9" s="1634" t="s">
        <v>284</v>
      </c>
      <c r="I9" s="1634" t="s">
        <v>96</v>
      </c>
      <c r="J9" s="1632" t="s">
        <v>285</v>
      </c>
      <c r="K9" s="1398"/>
    </row>
    <row r="10" spans="2:11" s="918" customFormat="1" ht="15.75" thickBot="1" x14ac:dyDescent="0.3">
      <c r="B10" s="1170"/>
      <c r="C10" s="1173" t="s">
        <v>286</v>
      </c>
      <c r="D10" s="1173"/>
      <c r="E10" s="1173"/>
      <c r="F10" s="247"/>
      <c r="G10" s="247"/>
      <c r="H10" s="247"/>
      <c r="I10" s="354"/>
      <c r="J10" s="354"/>
      <c r="K10" s="1171"/>
    </row>
    <row r="11" spans="2:11" s="918" customFormat="1" ht="15.75" thickBot="1" x14ac:dyDescent="0.3">
      <c r="B11" s="1170"/>
      <c r="C11" s="133"/>
      <c r="D11" s="133" t="s">
        <v>287</v>
      </c>
      <c r="E11" s="133"/>
      <c r="F11" s="1645"/>
      <c r="G11" s="1646"/>
      <c r="H11" s="1646"/>
      <c r="I11" s="1617">
        <f>F11*H11</f>
        <v>0</v>
      </c>
      <c r="J11" s="1618"/>
      <c r="K11" s="1171"/>
    </row>
    <row r="12" spans="2:11" s="918" customFormat="1" ht="15.75" thickBot="1" x14ac:dyDescent="0.3">
      <c r="B12" s="1170"/>
      <c r="C12" s="133"/>
      <c r="D12" s="133"/>
      <c r="E12" s="133"/>
      <c r="F12" s="1174"/>
      <c r="G12" s="1174"/>
      <c r="H12" s="1175"/>
      <c r="I12" s="1619">
        <f>I11</f>
        <v>0</v>
      </c>
      <c r="J12" s="1620"/>
      <c r="K12" s="1171"/>
    </row>
    <row r="13" spans="2:11" s="918" customFormat="1" ht="3.75" customHeight="1" x14ac:dyDescent="0.25">
      <c r="B13" s="1170"/>
      <c r="C13" s="133"/>
      <c r="D13" s="133"/>
      <c r="E13" s="133"/>
      <c r="F13" s="247"/>
      <c r="G13" s="247"/>
      <c r="H13" s="247"/>
      <c r="I13" s="354"/>
      <c r="J13" s="354"/>
      <c r="K13" s="1171"/>
    </row>
    <row r="14" spans="2:11" s="918" customFormat="1" ht="15.75" thickBot="1" x14ac:dyDescent="0.3">
      <c r="B14" s="1170"/>
      <c r="C14" s="1173" t="s">
        <v>288</v>
      </c>
      <c r="D14" s="1173"/>
      <c r="E14" s="1173"/>
      <c r="F14" s="247"/>
      <c r="G14" s="247"/>
      <c r="H14" s="247"/>
      <c r="I14" s="354"/>
      <c r="J14" s="354"/>
      <c r="K14" s="1171"/>
    </row>
    <row r="15" spans="2:11" s="918" customFormat="1" x14ac:dyDescent="0.25">
      <c r="B15" s="1170"/>
      <c r="C15" s="133"/>
      <c r="D15" s="133" t="s">
        <v>289</v>
      </c>
      <c r="E15" s="133"/>
      <c r="F15" s="1635">
        <v>1</v>
      </c>
      <c r="G15" s="1636"/>
      <c r="H15" s="1636">
        <v>24036</v>
      </c>
      <c r="I15" s="1621">
        <f t="shared" ref="I15:I22" si="0">F15*H15</f>
        <v>24036</v>
      </c>
      <c r="J15" s="1622"/>
      <c r="K15" s="1171"/>
    </row>
    <row r="16" spans="2:11" s="918" customFormat="1" x14ac:dyDescent="0.25">
      <c r="B16" s="1170"/>
      <c r="C16" s="133"/>
      <c r="D16" s="133" t="s">
        <v>290</v>
      </c>
      <c r="E16" s="133"/>
      <c r="F16" s="1637"/>
      <c r="G16" s="1638"/>
      <c r="H16" s="1638"/>
      <c r="I16" s="1623">
        <f t="shared" si="0"/>
        <v>0</v>
      </c>
      <c r="J16" s="1624"/>
      <c r="K16" s="1171"/>
    </row>
    <row r="17" spans="2:11" s="918" customFormat="1" x14ac:dyDescent="0.25">
      <c r="B17" s="1170"/>
      <c r="C17" s="133"/>
      <c r="D17" s="133" t="s">
        <v>291</v>
      </c>
      <c r="E17" s="133"/>
      <c r="F17" s="1637"/>
      <c r="G17" s="1638"/>
      <c r="H17" s="1638"/>
      <c r="I17" s="1623">
        <f t="shared" si="0"/>
        <v>0</v>
      </c>
      <c r="J17" s="1624"/>
      <c r="K17" s="1171"/>
    </row>
    <row r="18" spans="2:11" s="918" customFormat="1" x14ac:dyDescent="0.25">
      <c r="B18" s="1170"/>
      <c r="C18" s="133"/>
      <c r="D18" s="133" t="s">
        <v>112</v>
      </c>
      <c r="E18" s="133"/>
      <c r="F18" s="1637"/>
      <c r="G18" s="1638"/>
      <c r="H18" s="1638"/>
      <c r="I18" s="1623">
        <f t="shared" si="0"/>
        <v>0</v>
      </c>
      <c r="J18" s="1624"/>
      <c r="K18" s="1171"/>
    </row>
    <row r="19" spans="2:11" s="918" customFormat="1" x14ac:dyDescent="0.25">
      <c r="B19" s="1170"/>
      <c r="C19" s="133"/>
      <c r="D19" s="133" t="s">
        <v>292</v>
      </c>
      <c r="E19" s="133"/>
      <c r="F19" s="1637"/>
      <c r="G19" s="1638"/>
      <c r="H19" s="1638"/>
      <c r="I19" s="1623">
        <f t="shared" si="0"/>
        <v>0</v>
      </c>
      <c r="J19" s="1624"/>
      <c r="K19" s="1171"/>
    </row>
    <row r="20" spans="2:11" s="918" customFormat="1" x14ac:dyDescent="0.25">
      <c r="B20" s="1170"/>
      <c r="C20" s="133"/>
      <c r="D20" s="133" t="s">
        <v>293</v>
      </c>
      <c r="E20" s="133"/>
      <c r="F20" s="1637"/>
      <c r="G20" s="1638"/>
      <c r="H20" s="1638"/>
      <c r="I20" s="1623">
        <f t="shared" si="0"/>
        <v>0</v>
      </c>
      <c r="J20" s="1624"/>
      <c r="K20" s="1171"/>
    </row>
    <row r="21" spans="2:11" s="918" customFormat="1" x14ac:dyDescent="0.25">
      <c r="B21" s="1170"/>
      <c r="C21" s="133"/>
      <c r="D21" s="133" t="s">
        <v>247</v>
      </c>
      <c r="E21" s="133"/>
      <c r="F21" s="1637"/>
      <c r="G21" s="1638"/>
      <c r="H21" s="1638"/>
      <c r="I21" s="1623">
        <f t="shared" si="0"/>
        <v>0</v>
      </c>
      <c r="J21" s="1624"/>
      <c r="K21" s="1171"/>
    </row>
    <row r="22" spans="2:11" s="918" customFormat="1" ht="15.75" thickBot="1" x14ac:dyDescent="0.3">
      <c r="B22" s="1170"/>
      <c r="C22" s="133"/>
      <c r="D22" s="133" t="s">
        <v>294</v>
      </c>
      <c r="E22" s="133"/>
      <c r="F22" s="1639"/>
      <c r="G22" s="1640"/>
      <c r="H22" s="1640"/>
      <c r="I22" s="1625">
        <f t="shared" si="0"/>
        <v>0</v>
      </c>
      <c r="J22" s="1626"/>
      <c r="K22" s="1171"/>
    </row>
    <row r="23" spans="2:11" s="918" customFormat="1" ht="15.75" thickBot="1" x14ac:dyDescent="0.3">
      <c r="B23" s="1170"/>
      <c r="C23" s="133"/>
      <c r="D23" s="133"/>
      <c r="E23" s="133"/>
      <c r="F23" s="1174"/>
      <c r="G23" s="1174"/>
      <c r="H23" s="1176" t="s">
        <v>174</v>
      </c>
      <c r="I23" s="1627">
        <f>SUM(I15:I22)</f>
        <v>24036</v>
      </c>
      <c r="J23" s="1628"/>
      <c r="K23" s="1171"/>
    </row>
    <row r="24" spans="2:11" s="918" customFormat="1" ht="3.75" customHeight="1" x14ac:dyDescent="0.25">
      <c r="B24" s="1170"/>
      <c r="C24" s="133"/>
      <c r="D24" s="133"/>
      <c r="E24" s="133"/>
      <c r="F24" s="247"/>
      <c r="G24" s="247"/>
      <c r="H24" s="247"/>
      <c r="I24" s="354"/>
      <c r="J24" s="354"/>
      <c r="K24" s="1171"/>
    </row>
    <row r="25" spans="2:11" s="918" customFormat="1" ht="15.75" thickBot="1" x14ac:dyDescent="0.3">
      <c r="B25" s="1170"/>
      <c r="C25" s="1173" t="s">
        <v>295</v>
      </c>
      <c r="D25" s="1173"/>
      <c r="E25" s="1173"/>
      <c r="F25" s="247"/>
      <c r="G25" s="247"/>
      <c r="H25" s="247"/>
      <c r="I25" s="354"/>
      <c r="J25" s="354"/>
      <c r="K25" s="1171"/>
    </row>
    <row r="26" spans="2:11" s="918" customFormat="1" x14ac:dyDescent="0.25">
      <c r="B26" s="1170"/>
      <c r="C26" s="133"/>
      <c r="D26" s="133" t="s">
        <v>296</v>
      </c>
      <c r="E26" s="133"/>
      <c r="F26" s="1635">
        <v>1</v>
      </c>
      <c r="G26" s="1636"/>
      <c r="H26" s="1636">
        <v>78116</v>
      </c>
      <c r="I26" s="1621">
        <f t="shared" ref="I26:I33" si="1">F26*H26</f>
        <v>78116</v>
      </c>
      <c r="J26" s="1622"/>
      <c r="K26" s="1171"/>
    </row>
    <row r="27" spans="2:11" s="918" customFormat="1" x14ac:dyDescent="0.25">
      <c r="B27" s="1170"/>
      <c r="C27" s="133"/>
      <c r="D27" s="133" t="s">
        <v>297</v>
      </c>
      <c r="E27" s="133"/>
      <c r="F27" s="1637"/>
      <c r="G27" s="1638"/>
      <c r="H27" s="1638"/>
      <c r="I27" s="1623">
        <f t="shared" si="1"/>
        <v>0</v>
      </c>
      <c r="J27" s="1624"/>
      <c r="K27" s="1171"/>
    </row>
    <row r="28" spans="2:11" s="918" customFormat="1" x14ac:dyDescent="0.25">
      <c r="B28" s="1170"/>
      <c r="C28" s="133"/>
      <c r="D28" s="133" t="s">
        <v>298</v>
      </c>
      <c r="E28" s="133"/>
      <c r="F28" s="1637"/>
      <c r="G28" s="1638"/>
      <c r="H28" s="1638"/>
      <c r="I28" s="1623">
        <f t="shared" si="1"/>
        <v>0</v>
      </c>
      <c r="J28" s="1624"/>
      <c r="K28" s="1171"/>
    </row>
    <row r="29" spans="2:11" s="918" customFormat="1" x14ac:dyDescent="0.25">
      <c r="B29" s="1170"/>
      <c r="C29" s="133"/>
      <c r="D29" s="133" t="s">
        <v>299</v>
      </c>
      <c r="E29" s="133"/>
      <c r="F29" s="1643"/>
      <c r="G29" s="1644"/>
      <c r="H29" s="1644"/>
      <c r="I29" s="1623">
        <f t="shared" si="1"/>
        <v>0</v>
      </c>
      <c r="J29" s="1629"/>
      <c r="K29" s="1171"/>
    </row>
    <row r="30" spans="2:11" s="918" customFormat="1" x14ac:dyDescent="0.25">
      <c r="B30" s="1170"/>
      <c r="C30" s="133"/>
      <c r="D30" s="133" t="s">
        <v>300</v>
      </c>
      <c r="E30" s="133"/>
      <c r="F30" s="1637"/>
      <c r="G30" s="1638"/>
      <c r="H30" s="1638"/>
      <c r="I30" s="1623">
        <f t="shared" si="1"/>
        <v>0</v>
      </c>
      <c r="J30" s="1624"/>
      <c r="K30" s="1171"/>
    </row>
    <row r="31" spans="2:11" s="918" customFormat="1" x14ac:dyDescent="0.25">
      <c r="B31" s="1170"/>
      <c r="C31" s="133"/>
      <c r="D31" s="133" t="s">
        <v>301</v>
      </c>
      <c r="E31" s="133"/>
      <c r="F31" s="1637"/>
      <c r="G31" s="1638"/>
      <c r="H31" s="1638"/>
      <c r="I31" s="1623">
        <f t="shared" si="1"/>
        <v>0</v>
      </c>
      <c r="J31" s="1624"/>
      <c r="K31" s="1171"/>
    </row>
    <row r="32" spans="2:11" s="918" customFormat="1" x14ac:dyDescent="0.25">
      <c r="B32" s="1170"/>
      <c r="C32" s="133"/>
      <c r="D32" s="133" t="s">
        <v>302</v>
      </c>
      <c r="E32" s="133"/>
      <c r="F32" s="1637"/>
      <c r="G32" s="1638"/>
      <c r="H32" s="1638"/>
      <c r="I32" s="1623">
        <f t="shared" si="1"/>
        <v>0</v>
      </c>
      <c r="J32" s="1624"/>
      <c r="K32" s="1171"/>
    </row>
    <row r="33" spans="1:11" s="918" customFormat="1" ht="15.75" thickBot="1" x14ac:dyDescent="0.3">
      <c r="B33" s="1170"/>
      <c r="C33" s="133"/>
      <c r="D33" s="133" t="s">
        <v>303</v>
      </c>
      <c r="E33" s="133"/>
      <c r="F33" s="1641"/>
      <c r="G33" s="1642"/>
      <c r="H33" s="1642"/>
      <c r="I33" s="1625">
        <f t="shared" si="1"/>
        <v>0</v>
      </c>
      <c r="J33" s="1626"/>
      <c r="K33" s="1171"/>
    </row>
    <row r="34" spans="1:11" s="918" customFormat="1" ht="15.75" thickBot="1" x14ac:dyDescent="0.3">
      <c r="B34" s="1170"/>
      <c r="C34" s="133"/>
      <c r="D34" s="133"/>
      <c r="E34" s="133"/>
      <c r="F34" s="1174"/>
      <c r="G34" s="1174"/>
      <c r="H34" s="1176" t="s">
        <v>174</v>
      </c>
      <c r="I34" s="1619">
        <f>SUM(I26:I33)</f>
        <v>78116</v>
      </c>
      <c r="J34" s="1620"/>
      <c r="K34" s="1171"/>
    </row>
    <row r="35" spans="1:11" s="918" customFormat="1" ht="3.75" customHeight="1" x14ac:dyDescent="0.25">
      <c r="B35" s="1170"/>
      <c r="C35" s="133"/>
      <c r="D35" s="133"/>
      <c r="E35" s="133"/>
      <c r="F35" s="247"/>
      <c r="G35" s="247"/>
      <c r="H35" s="247"/>
      <c r="I35" s="354"/>
      <c r="J35" s="354"/>
      <c r="K35" s="1171"/>
    </row>
    <row r="36" spans="1:11" s="918" customFormat="1" ht="15.75" thickBot="1" x14ac:dyDescent="0.3">
      <c r="B36" s="1170"/>
      <c r="C36" s="1173" t="s">
        <v>304</v>
      </c>
      <c r="D36" s="1173"/>
      <c r="E36" s="1173"/>
      <c r="F36" s="247"/>
      <c r="G36" s="247"/>
      <c r="H36" s="247"/>
      <c r="I36" s="354"/>
      <c r="J36" s="354"/>
      <c r="K36" s="1171"/>
    </row>
    <row r="37" spans="1:11" s="918" customFormat="1" x14ac:dyDescent="0.25">
      <c r="B37" s="1170"/>
      <c r="C37" s="133"/>
      <c r="D37" s="133" t="s">
        <v>305</v>
      </c>
      <c r="E37" s="133"/>
      <c r="F37" s="1635">
        <v>1</v>
      </c>
      <c r="G37" s="1636"/>
      <c r="H37" s="1636">
        <v>503750</v>
      </c>
      <c r="I37" s="1621">
        <f>F37*H37</f>
        <v>503750</v>
      </c>
      <c r="J37" s="1622"/>
      <c r="K37" s="1171"/>
    </row>
    <row r="38" spans="1:11" s="918" customFormat="1" x14ac:dyDescent="0.25">
      <c r="B38" s="1170"/>
      <c r="C38" s="133"/>
      <c r="D38" s="133" t="s">
        <v>306</v>
      </c>
      <c r="E38" s="133"/>
      <c r="F38" s="1637">
        <v>1</v>
      </c>
      <c r="G38" s="1638"/>
      <c r="H38" s="1638">
        <v>71577</v>
      </c>
      <c r="I38" s="1623">
        <f>F38*H38</f>
        <v>71577</v>
      </c>
      <c r="J38" s="1624" t="s">
        <v>1594</v>
      </c>
      <c r="K38" s="1171"/>
    </row>
    <row r="39" spans="1:11" x14ac:dyDescent="0.25">
      <c r="A39" s="918"/>
      <c r="B39" s="1170"/>
      <c r="C39" s="133"/>
      <c r="D39" s="133" t="s">
        <v>307</v>
      </c>
      <c r="E39" s="133"/>
      <c r="F39" s="208"/>
      <c r="G39" s="207"/>
      <c r="H39" s="207"/>
      <c r="I39" s="207"/>
      <c r="J39" s="1165"/>
      <c r="K39" s="1171"/>
    </row>
    <row r="40" spans="1:11" s="918" customFormat="1" x14ac:dyDescent="0.25">
      <c r="B40" s="1170"/>
      <c r="C40" s="133"/>
      <c r="D40" s="2328" t="s">
        <v>1074</v>
      </c>
      <c r="E40" s="2328"/>
      <c r="F40" s="1637"/>
      <c r="G40" s="1638"/>
      <c r="H40" s="1638"/>
      <c r="I40" s="1623">
        <f>F40*H40</f>
        <v>0</v>
      </c>
      <c r="J40" s="1624"/>
      <c r="K40" s="1171"/>
    </row>
    <row r="41" spans="1:11" s="918" customFormat="1" ht="15.75" thickBot="1" x14ac:dyDescent="0.3">
      <c r="B41" s="1170"/>
      <c r="C41" s="133"/>
      <c r="D41" s="2328" t="s">
        <v>1075</v>
      </c>
      <c r="E41" s="2328"/>
      <c r="F41" s="1641"/>
      <c r="G41" s="1642"/>
      <c r="H41" s="1642"/>
      <c r="I41" s="1625">
        <f>F41*H41</f>
        <v>0</v>
      </c>
      <c r="J41" s="1626"/>
      <c r="K41" s="1171"/>
    </row>
    <row r="42" spans="1:11" s="918" customFormat="1" ht="15.75" thickBot="1" x14ac:dyDescent="0.3">
      <c r="B42" s="1170"/>
      <c r="C42" s="133"/>
      <c r="D42" s="133"/>
      <c r="E42" s="133"/>
      <c r="F42" s="1174"/>
      <c r="G42" s="1174"/>
      <c r="H42" s="1176" t="s">
        <v>174</v>
      </c>
      <c r="I42" s="1619">
        <f>SUM(I37:I38)+SUM(I40:I41)</f>
        <v>575327</v>
      </c>
      <c r="J42" s="1620"/>
      <c r="K42" s="1171"/>
    </row>
    <row r="43" spans="1:11" s="918" customFormat="1" ht="3.75" customHeight="1" x14ac:dyDescent="0.25">
      <c r="B43" s="1170"/>
      <c r="C43" s="133"/>
      <c r="D43" s="133"/>
      <c r="E43" s="133"/>
      <c r="F43" s="247"/>
      <c r="G43" s="247"/>
      <c r="H43" s="247"/>
      <c r="I43" s="354"/>
      <c r="J43" s="354"/>
      <c r="K43" s="1171"/>
    </row>
    <row r="44" spans="1:11" s="918" customFormat="1" ht="15.75" thickBot="1" x14ac:dyDescent="0.3">
      <c r="B44" s="1170"/>
      <c r="C44" s="1173" t="s">
        <v>308</v>
      </c>
      <c r="D44" s="1173"/>
      <c r="E44" s="1173"/>
      <c r="F44" s="247"/>
      <c r="G44" s="247"/>
      <c r="H44" s="247"/>
      <c r="I44" s="354"/>
      <c r="J44" s="354"/>
      <c r="K44" s="1171"/>
    </row>
    <row r="45" spans="1:11" s="918" customFormat="1" x14ac:dyDescent="0.25">
      <c r="B45" s="1170"/>
      <c r="C45" s="133"/>
      <c r="D45" s="133" t="s">
        <v>309</v>
      </c>
      <c r="E45" s="133"/>
      <c r="F45" s="1635"/>
      <c r="G45" s="1636"/>
      <c r="H45" s="1636"/>
      <c r="I45" s="1621">
        <f>F45*H45</f>
        <v>0</v>
      </c>
      <c r="J45" s="1622"/>
      <c r="K45" s="1171"/>
    </row>
    <row r="46" spans="1:11" s="918" customFormat="1" x14ac:dyDescent="0.25">
      <c r="B46" s="1170"/>
      <c r="C46" s="133"/>
      <c r="D46" s="133" t="s">
        <v>310</v>
      </c>
      <c r="E46" s="133"/>
      <c r="F46" s="1637"/>
      <c r="G46" s="1638"/>
      <c r="H46" s="1638"/>
      <c r="I46" s="1623">
        <f>F46*H46</f>
        <v>0</v>
      </c>
      <c r="J46" s="1624"/>
      <c r="K46" s="1171"/>
    </row>
    <row r="47" spans="1:11" s="918" customFormat="1" x14ac:dyDescent="0.25">
      <c r="B47" s="1170"/>
      <c r="C47" s="133"/>
      <c r="D47" s="133" t="s">
        <v>290</v>
      </c>
      <c r="E47" s="133"/>
      <c r="F47" s="1637"/>
      <c r="G47" s="1638"/>
      <c r="H47" s="1638"/>
      <c r="I47" s="1623">
        <f>F47*H47</f>
        <v>0</v>
      </c>
      <c r="J47" s="1624"/>
      <c r="K47" s="1171"/>
    </row>
    <row r="48" spans="1:11" s="918" customFormat="1" ht="15.75" thickBot="1" x14ac:dyDescent="0.3">
      <c r="B48" s="1170"/>
      <c r="C48" s="133"/>
      <c r="D48" s="133" t="s">
        <v>311</v>
      </c>
      <c r="E48" s="133"/>
      <c r="F48" s="1639"/>
      <c r="G48" s="1640"/>
      <c r="H48" s="1640"/>
      <c r="I48" s="1625">
        <f>F48*H48</f>
        <v>0</v>
      </c>
      <c r="J48" s="1626"/>
      <c r="K48" s="1171"/>
    </row>
    <row r="49" spans="2:11" s="918" customFormat="1" ht="15.75" thickBot="1" x14ac:dyDescent="0.3">
      <c r="B49" s="1170"/>
      <c r="C49" s="133"/>
      <c r="D49" s="133"/>
      <c r="E49" s="133"/>
      <c r="F49" s="1174"/>
      <c r="G49" s="1174"/>
      <c r="H49" s="1176" t="s">
        <v>174</v>
      </c>
      <c r="I49" s="1619">
        <f>SUM(I45:I48)</f>
        <v>0</v>
      </c>
      <c r="J49" s="1620"/>
      <c r="K49" s="1171"/>
    </row>
    <row r="50" spans="2:11" s="918" customFormat="1" ht="3.75" customHeight="1" x14ac:dyDescent="0.25">
      <c r="B50" s="1170"/>
      <c r="C50" s="133"/>
      <c r="D50" s="133"/>
      <c r="E50" s="133"/>
      <c r="F50" s="247"/>
      <c r="G50" s="247"/>
      <c r="H50" s="247"/>
      <c r="I50" s="354"/>
      <c r="J50" s="354"/>
      <c r="K50" s="1171"/>
    </row>
    <row r="51" spans="2:11" s="918" customFormat="1" ht="15.75" thickBot="1" x14ac:dyDescent="0.3">
      <c r="B51" s="1170"/>
      <c r="C51" s="1173" t="s">
        <v>247</v>
      </c>
      <c r="D51" s="1173"/>
      <c r="E51" s="1173"/>
      <c r="F51" s="1177"/>
      <c r="G51" s="1177"/>
      <c r="H51" s="1177"/>
      <c r="I51" s="1630"/>
      <c r="J51" s="696"/>
      <c r="K51" s="1171"/>
    </row>
    <row r="52" spans="2:11" s="918" customFormat="1" ht="25.5" customHeight="1" thickBot="1" x14ac:dyDescent="0.3">
      <c r="B52" s="1170"/>
      <c r="C52" s="133"/>
      <c r="D52" s="133"/>
      <c r="E52" s="133"/>
      <c r="F52" s="1166">
        <v>1</v>
      </c>
      <c r="G52" s="1167"/>
      <c r="H52" s="1167">
        <v>171252</v>
      </c>
      <c r="I52" s="1631">
        <f>F52*H52</f>
        <v>171252</v>
      </c>
      <c r="J52" s="1618" t="s">
        <v>1595</v>
      </c>
      <c r="K52" s="1171"/>
    </row>
    <row r="53" spans="2:11" s="918" customFormat="1" ht="15.75" thickBot="1" x14ac:dyDescent="0.3">
      <c r="B53" s="1170"/>
      <c r="C53" s="133"/>
      <c r="D53" s="133"/>
      <c r="E53" s="133"/>
      <c r="F53" s="1174"/>
      <c r="G53" s="1174"/>
      <c r="H53" s="1176" t="s">
        <v>174</v>
      </c>
      <c r="I53" s="1619">
        <f>SUM(I52)</f>
        <v>171252</v>
      </c>
      <c r="J53" s="1620"/>
      <c r="K53" s="1171"/>
    </row>
    <row r="54" spans="2:11" s="918" customFormat="1" ht="7.5" customHeight="1" thickBot="1" x14ac:dyDescent="0.3">
      <c r="B54" s="1170"/>
      <c r="C54" s="133"/>
      <c r="D54" s="133"/>
      <c r="E54" s="133"/>
      <c r="F54" s="247"/>
      <c r="G54" s="247"/>
      <c r="H54" s="247"/>
      <c r="I54" s="247"/>
      <c r="J54" s="247"/>
      <c r="K54" s="1171"/>
    </row>
    <row r="55" spans="2:11" ht="15.75" thickBot="1" x14ac:dyDescent="0.3">
      <c r="B55" s="1178"/>
      <c r="C55" s="1648" t="s">
        <v>62</v>
      </c>
      <c r="D55" s="1179"/>
      <c r="E55" s="1180"/>
      <c r="F55" s="1181"/>
      <c r="G55" s="1181"/>
      <c r="H55" s="1182"/>
      <c r="I55" s="1183">
        <f>I12+I23+I34+I42+I49+I53</f>
        <v>848731</v>
      </c>
      <c r="J55" s="1184" t="str">
        <f>IF(I55&lt;&gt;('6A - 4%'!J98+'6A - 4%'!J99),"WARNING: Does not match Form 6A","")</f>
        <v/>
      </c>
      <c r="K55" s="1171"/>
    </row>
    <row r="56" spans="2:11" s="918" customFormat="1" ht="9" customHeight="1" thickBot="1" x14ac:dyDescent="0.3">
      <c r="B56" s="1185"/>
      <c r="C56" s="1186"/>
      <c r="D56" s="1186"/>
      <c r="E56" s="1186"/>
      <c r="F56" s="1186"/>
      <c r="G56" s="1186"/>
      <c r="H56" s="1186"/>
      <c r="I56" s="1187" t="s">
        <v>34</v>
      </c>
      <c r="J56" s="1186"/>
      <c r="K56" s="1113"/>
    </row>
  </sheetData>
  <sheetProtection password="9F6B" sheet="1" objects="1" scenarios="1" formatCells="0" formatColumns="0" formatRows="0"/>
  <mergeCells count="3">
    <mergeCell ref="D40:E40"/>
    <mergeCell ref="D41:E41"/>
    <mergeCell ref="C3:J3"/>
  </mergeCells>
  <pageMargins left="0.7" right="0.7" top="0.75" bottom="0.75" header="0.3" footer="0.3"/>
  <pageSetup scale="84" fitToHeight="0" orientation="portrait" r:id="rId1"/>
  <headerFooter>
    <oddFooter>&amp;LForm 6E(a)
Fee Schedule&amp;CCFA Forms&amp;REdition: 2015
Version: 1.1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9:W125"/>
  <sheetViews>
    <sheetView showGridLines="0" zoomScaleNormal="100" zoomScaleSheetLayoutView="100" workbookViewId="0">
      <selection activeCell="AD120" sqref="AD120"/>
    </sheetView>
  </sheetViews>
  <sheetFormatPr defaultRowHeight="15" x14ac:dyDescent="0.25"/>
  <cols>
    <col min="1" max="2" width="1.7109375" style="838" customWidth="1"/>
    <col min="3" max="3" width="2.85546875" style="838" customWidth="1"/>
    <col min="4" max="4" width="5.7109375" style="838" customWidth="1"/>
    <col min="5" max="5" width="8.5703125" style="838" customWidth="1"/>
    <col min="6" max="6" width="12.85546875" style="838" customWidth="1"/>
    <col min="7" max="7" width="10.7109375" style="838" customWidth="1"/>
    <col min="8" max="8" width="1.42578125" style="838" customWidth="1"/>
    <col min="9" max="9" width="7.85546875" style="838" customWidth="1"/>
    <col min="10" max="10" width="11.28515625" style="838" customWidth="1"/>
    <col min="11" max="11" width="11.42578125" style="838" customWidth="1"/>
    <col min="12" max="12" width="9" style="838" customWidth="1"/>
    <col min="13" max="13" width="9.5703125" style="838" customWidth="1"/>
    <col min="14" max="14" width="9.28515625" style="838" customWidth="1"/>
    <col min="15" max="15" width="10.42578125" style="838" customWidth="1"/>
    <col min="16" max="16" width="10.140625" style="838" customWidth="1"/>
    <col min="17" max="17" width="8.28515625" style="838" customWidth="1"/>
    <col min="18" max="18" width="9.5703125" style="838" bestFit="1" customWidth="1"/>
    <col min="19" max="19" width="0.7109375" style="838" customWidth="1"/>
    <col min="20" max="20" width="10.85546875" style="838" customWidth="1"/>
    <col min="21" max="22" width="9.140625" style="838"/>
    <col min="23" max="23" width="1.7109375" style="838" customWidth="1"/>
    <col min="24" max="16384" width="9.140625" style="838"/>
  </cols>
  <sheetData>
    <row r="9" spans="2:23" ht="9" customHeight="1" thickBot="1" x14ac:dyDescent="0.3"/>
    <row r="10" spans="2:23" ht="9" customHeight="1" x14ac:dyDescent="0.25">
      <c r="B10" s="1070"/>
      <c r="C10" s="1071"/>
      <c r="D10" s="1071"/>
      <c r="E10" s="1071"/>
      <c r="F10" s="1071"/>
      <c r="G10" s="1071"/>
      <c r="H10" s="1071"/>
      <c r="I10" s="892"/>
      <c r="J10" s="892"/>
      <c r="K10" s="892"/>
      <c r="L10" s="892"/>
      <c r="M10" s="1071"/>
      <c r="N10" s="1071"/>
      <c r="O10" s="1071"/>
      <c r="P10" s="83"/>
      <c r="Q10" s="83"/>
      <c r="R10" s="83"/>
      <c r="S10" s="83"/>
      <c r="T10" s="83"/>
      <c r="U10" s="83"/>
      <c r="V10" s="83"/>
      <c r="W10" s="84"/>
    </row>
    <row r="11" spans="2:23" ht="18.75" x14ac:dyDescent="0.3">
      <c r="B11" s="1072"/>
      <c r="C11" s="2130" t="s">
        <v>1374</v>
      </c>
      <c r="D11" s="2130"/>
      <c r="E11" s="2130"/>
      <c r="F11" s="2130"/>
      <c r="G11" s="2130"/>
      <c r="H11" s="2130"/>
      <c r="I11" s="2130"/>
      <c r="J11" s="2130"/>
      <c r="K11" s="2130"/>
      <c r="L11" s="2130"/>
      <c r="M11" s="2130"/>
      <c r="N11" s="2130"/>
      <c r="O11" s="2130"/>
      <c r="P11" s="2130"/>
      <c r="Q11" s="2130"/>
      <c r="R11" s="2130"/>
      <c r="S11" s="2130"/>
      <c r="T11" s="2130"/>
      <c r="U11" s="2130"/>
      <c r="V11" s="2130"/>
      <c r="W11" s="90"/>
    </row>
    <row r="12" spans="2:23" ht="15" customHeight="1" x14ac:dyDescent="0.25">
      <c r="B12" s="1072"/>
      <c r="C12" s="133"/>
      <c r="D12" s="133"/>
      <c r="E12" s="133"/>
      <c r="F12" s="133"/>
      <c r="G12" s="133"/>
      <c r="H12" s="133"/>
      <c r="I12" s="897"/>
      <c r="J12" s="814"/>
      <c r="K12" s="897"/>
      <c r="L12" s="897"/>
      <c r="M12" s="133"/>
      <c r="N12" s="133"/>
      <c r="O12" s="133"/>
      <c r="P12" s="42"/>
      <c r="Q12" s="42"/>
      <c r="R12" s="42"/>
      <c r="S12" s="42"/>
      <c r="T12" s="42"/>
      <c r="U12" s="42"/>
      <c r="V12" s="42"/>
      <c r="W12" s="90"/>
    </row>
    <row r="13" spans="2:23" x14ac:dyDescent="0.25">
      <c r="B13" s="1073"/>
      <c r="C13" s="814"/>
      <c r="D13" s="257" t="s">
        <v>59</v>
      </c>
      <c r="E13" s="1074"/>
      <c r="F13" s="270" t="str">
        <f>IF('1A'!G5="","Enter Project Name on Form 1A",'1A'!G5)</f>
        <v>University District Apartments</v>
      </c>
      <c r="G13" s="270"/>
      <c r="H13" s="270"/>
      <c r="I13" s="270"/>
      <c r="J13" s="270"/>
      <c r="K13" s="270"/>
      <c r="L13" s="258"/>
      <c r="M13" s="257" t="s">
        <v>1400</v>
      </c>
      <c r="N13" s="1857" t="str">
        <f>IF('1A'!G44="","Enter Site Name on Form 1A",'1A'!G44)</f>
        <v>Project B - 9%</v>
      </c>
      <c r="O13" s="1857"/>
      <c r="P13" s="1857"/>
      <c r="Q13" s="1857"/>
      <c r="R13" s="1857"/>
      <c r="S13" s="1857"/>
      <c r="T13" s="1857"/>
      <c r="U13" s="1857"/>
      <c r="V13" s="133"/>
      <c r="W13" s="1075"/>
    </row>
    <row r="14" spans="2:23" ht="7.5" customHeight="1" thickBot="1" x14ac:dyDescent="0.3">
      <c r="B14" s="1073"/>
      <c r="C14" s="110"/>
      <c r="D14" s="41"/>
      <c r="E14" s="1074"/>
      <c r="F14" s="1074"/>
      <c r="G14" s="1074"/>
      <c r="H14" s="1074"/>
      <c r="I14" s="1074"/>
      <c r="J14" s="1074"/>
      <c r="K14" s="110"/>
      <c r="L14" s="1074"/>
      <c r="M14" s="110"/>
      <c r="N14" s="110"/>
      <c r="O14" s="110"/>
      <c r="P14" s="110"/>
      <c r="Q14" s="110"/>
      <c r="R14" s="110"/>
      <c r="S14" s="110"/>
      <c r="T14" s="133"/>
      <c r="U14" s="133"/>
      <c r="V14" s="133"/>
      <c r="W14" s="1075"/>
    </row>
    <row r="15" spans="2:23" x14ac:dyDescent="0.25">
      <c r="B15" s="1072"/>
      <c r="C15" s="814"/>
      <c r="D15" s="271" t="s">
        <v>161</v>
      </c>
      <c r="E15" s="1074"/>
      <c r="F15" s="2006">
        <v>42628</v>
      </c>
      <c r="G15" s="897"/>
      <c r="H15" s="897"/>
      <c r="I15" s="2271" t="s">
        <v>162</v>
      </c>
      <c r="J15" s="2271" t="s">
        <v>163</v>
      </c>
      <c r="K15" s="2269" t="s">
        <v>60</v>
      </c>
      <c r="L15" s="2270"/>
      <c r="M15" s="2270"/>
      <c r="N15" s="2270"/>
      <c r="O15" s="2329"/>
      <c r="P15" s="2270"/>
      <c r="Q15" s="2270"/>
      <c r="R15" s="2270"/>
      <c r="S15" s="1076"/>
      <c r="T15" s="2267" t="s">
        <v>61</v>
      </c>
      <c r="U15" s="2267"/>
      <c r="V15" s="2268"/>
      <c r="W15" s="1075"/>
    </row>
    <row r="16" spans="2:23" x14ac:dyDescent="0.25">
      <c r="B16" s="1072"/>
      <c r="C16" s="110"/>
      <c r="D16" s="1074"/>
      <c r="E16" s="1074"/>
      <c r="F16" s="1074"/>
      <c r="G16" s="1074"/>
      <c r="H16" s="1074"/>
      <c r="I16" s="2261"/>
      <c r="J16" s="2261"/>
      <c r="K16" s="2272" t="s">
        <v>165</v>
      </c>
      <c r="L16" s="1077" t="s">
        <v>166</v>
      </c>
      <c r="M16" s="1077" t="s">
        <v>166</v>
      </c>
      <c r="N16" s="1077" t="s">
        <v>166</v>
      </c>
      <c r="O16" s="1077"/>
      <c r="P16" s="1077" t="s">
        <v>166</v>
      </c>
      <c r="Q16" s="1077" t="s">
        <v>166</v>
      </c>
      <c r="R16" s="1077" t="s">
        <v>166</v>
      </c>
      <c r="S16" s="1078"/>
      <c r="T16" s="2274" t="s">
        <v>648</v>
      </c>
      <c r="U16" s="1077" t="s">
        <v>166</v>
      </c>
      <c r="V16" s="1079" t="s">
        <v>166</v>
      </c>
      <c r="W16" s="1075"/>
    </row>
    <row r="17" spans="2:23" ht="15" customHeight="1" x14ac:dyDescent="0.25">
      <c r="B17" s="1072"/>
      <c r="C17" s="110"/>
      <c r="D17" s="1074"/>
      <c r="E17" s="1074"/>
      <c r="F17" s="1074"/>
      <c r="G17" s="1074"/>
      <c r="H17" s="1074"/>
      <c r="I17" s="2261"/>
      <c r="J17" s="2261"/>
      <c r="K17" s="2272"/>
      <c r="L17" s="2278" t="s">
        <v>1539</v>
      </c>
      <c r="M17" s="2278" t="s">
        <v>925</v>
      </c>
      <c r="N17" s="2278" t="s">
        <v>1540</v>
      </c>
      <c r="O17" s="2278" t="s">
        <v>1602</v>
      </c>
      <c r="P17" s="2278" t="s">
        <v>1541</v>
      </c>
      <c r="Q17" s="2278" t="s">
        <v>1542</v>
      </c>
      <c r="R17" s="2276" t="s">
        <v>1673</v>
      </c>
      <c r="S17" s="1078"/>
      <c r="T17" s="2274"/>
      <c r="U17" s="2278" t="s">
        <v>1592</v>
      </c>
      <c r="V17" s="2278" t="s">
        <v>1593</v>
      </c>
      <c r="W17" s="1075"/>
    </row>
    <row r="18" spans="2:23" ht="24" customHeight="1" thickBot="1" x14ac:dyDescent="0.3">
      <c r="B18" s="1072"/>
      <c r="C18" s="110"/>
      <c r="D18" s="1074"/>
      <c r="E18" s="136"/>
      <c r="F18" s="136"/>
      <c r="G18" s="136"/>
      <c r="H18" s="136"/>
      <c r="I18" s="2262"/>
      <c r="J18" s="2262"/>
      <c r="K18" s="2273"/>
      <c r="L18" s="2279"/>
      <c r="M18" s="2279"/>
      <c r="N18" s="2279"/>
      <c r="O18" s="2279"/>
      <c r="P18" s="2279"/>
      <c r="Q18" s="2279"/>
      <c r="R18" s="2277"/>
      <c r="S18" s="1080"/>
      <c r="T18" s="2275"/>
      <c r="U18" s="2279"/>
      <c r="V18" s="2279"/>
      <c r="W18" s="896"/>
    </row>
    <row r="19" spans="2:23" ht="15.75" thickBot="1" x14ac:dyDescent="0.3">
      <c r="B19" s="1072"/>
      <c r="C19" s="143" t="s">
        <v>168</v>
      </c>
      <c r="D19" s="143"/>
      <c r="E19" s="143"/>
      <c r="F19" s="143"/>
      <c r="G19" s="143"/>
      <c r="H19" s="112"/>
      <c r="I19" s="112"/>
      <c r="J19" s="112"/>
      <c r="K19" s="112"/>
      <c r="L19" s="1074"/>
      <c r="M19" s="110"/>
      <c r="N19" s="110"/>
      <c r="O19" s="110"/>
      <c r="P19" s="39"/>
      <c r="Q19" s="1081"/>
      <c r="R19" s="1081"/>
      <c r="S19" s="133"/>
      <c r="T19" s="133"/>
      <c r="U19" s="1081"/>
      <c r="V19" s="1081"/>
      <c r="W19" s="896"/>
    </row>
    <row r="20" spans="2:23" x14ac:dyDescent="0.25">
      <c r="B20" s="1072"/>
      <c r="C20" s="110"/>
      <c r="D20" s="259" t="s">
        <v>169</v>
      </c>
      <c r="E20" s="259"/>
      <c r="F20" s="259"/>
      <c r="G20" s="259"/>
      <c r="H20" s="259"/>
      <c r="I20" s="702">
        <f>IFERROR(J20/J$118," ")</f>
        <v>9.775730526839857E-2</v>
      </c>
      <c r="J20" s="96">
        <f t="shared" ref="J20:J25" si="0">K20+T20</f>
        <v>1639944</v>
      </c>
      <c r="K20" s="65">
        <f t="shared" ref="K20:K25" si="1">SUM(L20:R20)</f>
        <v>1567551</v>
      </c>
      <c r="L20" s="66"/>
      <c r="M20" s="50">
        <v>500000</v>
      </c>
      <c r="N20" s="50"/>
      <c r="O20" s="50">
        <v>1067551</v>
      </c>
      <c r="P20" s="50">
        <v>0</v>
      </c>
      <c r="Q20" s="50"/>
      <c r="R20" s="50"/>
      <c r="S20" s="1082"/>
      <c r="T20" s="1083">
        <f t="shared" ref="T20:T25" si="2">SUM(U20:V20)</f>
        <v>72393</v>
      </c>
      <c r="U20" s="67">
        <v>72393</v>
      </c>
      <c r="V20" s="55"/>
      <c r="W20" s="896"/>
    </row>
    <row r="21" spans="2:23" x14ac:dyDescent="0.25">
      <c r="B21" s="1072"/>
      <c r="C21" s="110"/>
      <c r="D21" s="261" t="s">
        <v>170</v>
      </c>
      <c r="E21" s="261"/>
      <c r="F21" s="261"/>
      <c r="G21" s="261"/>
      <c r="H21" s="261"/>
      <c r="I21" s="703">
        <f t="shared" ref="I21:I26" si="3">IFERROR(J21/J$118," ")</f>
        <v>0</v>
      </c>
      <c r="J21" s="97">
        <f t="shared" si="0"/>
        <v>0</v>
      </c>
      <c r="K21" s="63">
        <f t="shared" si="1"/>
        <v>0</v>
      </c>
      <c r="L21" s="68"/>
      <c r="M21" s="53"/>
      <c r="N21" s="53"/>
      <c r="O21" s="53"/>
      <c r="P21" s="53"/>
      <c r="Q21" s="53"/>
      <c r="R21" s="53"/>
      <c r="S21" s="1084"/>
      <c r="T21" s="72">
        <f t="shared" si="2"/>
        <v>0</v>
      </c>
      <c r="U21" s="69"/>
      <c r="V21" s="56"/>
      <c r="W21" s="896"/>
    </row>
    <row r="22" spans="2:23" x14ac:dyDescent="0.25">
      <c r="B22" s="1072"/>
      <c r="C22" s="110"/>
      <c r="D22" s="109" t="s">
        <v>171</v>
      </c>
      <c r="E22" s="109"/>
      <c r="F22" s="109"/>
      <c r="G22" s="109"/>
      <c r="H22" s="109"/>
      <c r="I22" s="703">
        <f t="shared" si="3"/>
        <v>6.2320025784965809E-3</v>
      </c>
      <c r="J22" s="97">
        <f t="shared" si="0"/>
        <v>104546</v>
      </c>
      <c r="K22" s="63">
        <f t="shared" si="1"/>
        <v>99931</v>
      </c>
      <c r="L22" s="68"/>
      <c r="M22" s="53"/>
      <c r="N22" s="53"/>
      <c r="O22" s="53">
        <v>99931</v>
      </c>
      <c r="P22" s="53"/>
      <c r="Q22" s="53"/>
      <c r="R22" s="53"/>
      <c r="S22" s="1084"/>
      <c r="T22" s="72">
        <f t="shared" si="2"/>
        <v>4615</v>
      </c>
      <c r="U22" s="69">
        <v>4615</v>
      </c>
      <c r="V22" s="56"/>
      <c r="W22" s="896"/>
    </row>
    <row r="23" spans="2:23" x14ac:dyDescent="0.25">
      <c r="B23" s="1072"/>
      <c r="C23" s="110"/>
      <c r="D23" s="109" t="s">
        <v>172</v>
      </c>
      <c r="E23" s="109"/>
      <c r="F23" s="109"/>
      <c r="G23" s="109"/>
      <c r="H23" s="109"/>
      <c r="I23" s="703">
        <f t="shared" si="3"/>
        <v>9.7760643436711043E-4</v>
      </c>
      <c r="J23" s="97">
        <f t="shared" si="0"/>
        <v>16400</v>
      </c>
      <c r="K23" s="63">
        <f t="shared" si="1"/>
        <v>15676</v>
      </c>
      <c r="L23" s="68"/>
      <c r="M23" s="53"/>
      <c r="N23" s="53"/>
      <c r="O23" s="53">
        <v>15676</v>
      </c>
      <c r="P23" s="53">
        <v>0</v>
      </c>
      <c r="Q23" s="53"/>
      <c r="R23" s="53"/>
      <c r="S23" s="1084"/>
      <c r="T23" s="72">
        <f t="shared" si="2"/>
        <v>724</v>
      </c>
      <c r="U23" s="69">
        <v>724</v>
      </c>
      <c r="V23" s="56"/>
      <c r="W23" s="896"/>
    </row>
    <row r="24" spans="2:23" x14ac:dyDescent="0.25">
      <c r="B24" s="1072"/>
      <c r="C24" s="110"/>
      <c r="D24" s="115" t="s">
        <v>173</v>
      </c>
      <c r="E24" s="115"/>
      <c r="F24" s="115"/>
      <c r="G24" s="115"/>
      <c r="H24" s="115"/>
      <c r="I24" s="703">
        <f t="shared" si="3"/>
        <v>0</v>
      </c>
      <c r="J24" s="97">
        <f t="shared" si="0"/>
        <v>0</v>
      </c>
      <c r="K24" s="63">
        <f t="shared" si="1"/>
        <v>0</v>
      </c>
      <c r="L24" s="68"/>
      <c r="M24" s="53"/>
      <c r="N24" s="53"/>
      <c r="O24" s="53"/>
      <c r="P24" s="53"/>
      <c r="Q24" s="53"/>
      <c r="R24" s="53"/>
      <c r="S24" s="1084"/>
      <c r="T24" s="72">
        <f t="shared" si="2"/>
        <v>0</v>
      </c>
      <c r="U24" s="69"/>
      <c r="V24" s="56"/>
      <c r="W24" s="896"/>
    </row>
    <row r="25" spans="2:23" x14ac:dyDescent="0.25">
      <c r="B25" s="1072"/>
      <c r="C25" s="110"/>
      <c r="D25" s="115" t="s">
        <v>476</v>
      </c>
      <c r="E25" s="2280"/>
      <c r="F25" s="2281"/>
      <c r="G25" s="2282"/>
      <c r="H25" s="269"/>
      <c r="I25" s="703">
        <f t="shared" si="3"/>
        <v>0</v>
      </c>
      <c r="J25" s="98">
        <f t="shared" si="0"/>
        <v>0</v>
      </c>
      <c r="K25" s="64">
        <f t="shared" si="1"/>
        <v>0</v>
      </c>
      <c r="L25" s="70"/>
      <c r="M25" s="54"/>
      <c r="N25" s="54"/>
      <c r="O25" s="54"/>
      <c r="P25" s="54"/>
      <c r="Q25" s="54"/>
      <c r="R25" s="54"/>
      <c r="S25" s="1084"/>
      <c r="T25" s="1085">
        <f t="shared" si="2"/>
        <v>0</v>
      </c>
      <c r="U25" s="71"/>
      <c r="V25" s="80"/>
      <c r="W25" s="896"/>
    </row>
    <row r="26" spans="2:23" ht="15.75" thickBot="1" x14ac:dyDescent="0.3">
      <c r="B26" s="1072"/>
      <c r="C26" s="110"/>
      <c r="D26" s="109"/>
      <c r="E26" s="109"/>
      <c r="F26" s="109"/>
      <c r="G26" s="113" t="s">
        <v>174</v>
      </c>
      <c r="H26" s="113"/>
      <c r="I26" s="704">
        <f t="shared" si="3"/>
        <v>0.10496691428126226</v>
      </c>
      <c r="J26" s="99">
        <f t="shared" ref="J26:R26" si="4">SUM(J20:J25)</f>
        <v>1760890</v>
      </c>
      <c r="K26" s="60">
        <f t="shared" si="4"/>
        <v>1683158</v>
      </c>
      <c r="L26" s="1086">
        <f t="shared" si="4"/>
        <v>0</v>
      </c>
      <c r="M26" s="1087">
        <f t="shared" si="4"/>
        <v>500000</v>
      </c>
      <c r="N26" s="1087">
        <f t="shared" si="4"/>
        <v>0</v>
      </c>
      <c r="O26" s="1087">
        <f t="shared" si="4"/>
        <v>1183158</v>
      </c>
      <c r="P26" s="1087">
        <f t="shared" si="4"/>
        <v>0</v>
      </c>
      <c r="Q26" s="1087">
        <f t="shared" si="4"/>
        <v>0</v>
      </c>
      <c r="R26" s="1087">
        <f t="shared" si="4"/>
        <v>0</v>
      </c>
      <c r="S26" s="1088"/>
      <c r="T26" s="1089">
        <f>SUM(T20:T25)</f>
        <v>77732</v>
      </c>
      <c r="U26" s="1086">
        <f>SUM(U20:U25)</f>
        <v>77732</v>
      </c>
      <c r="V26" s="1090">
        <f>SUM(V20:V25)</f>
        <v>0</v>
      </c>
      <c r="W26" s="896"/>
    </row>
    <row r="27" spans="2:23" ht="3.75" customHeight="1" x14ac:dyDescent="0.25">
      <c r="B27" s="1072"/>
      <c r="C27" s="109"/>
      <c r="D27" s="109"/>
      <c r="E27" s="109"/>
      <c r="F27" s="109"/>
      <c r="G27" s="109"/>
      <c r="H27" s="109"/>
      <c r="I27" s="1074"/>
      <c r="J27" s="1091"/>
      <c r="K27" s="110"/>
      <c r="L27" s="40"/>
      <c r="M27" s="40"/>
      <c r="N27" s="40"/>
      <c r="O27" s="40"/>
      <c r="P27" s="40"/>
      <c r="Q27" s="110"/>
      <c r="R27" s="40"/>
      <c r="S27" s="1084"/>
      <c r="T27" s="40"/>
      <c r="U27" s="40"/>
      <c r="V27" s="40"/>
      <c r="W27" s="896"/>
    </row>
    <row r="28" spans="2:23" ht="15.75" thickBot="1" x14ac:dyDescent="0.3">
      <c r="B28" s="1072"/>
      <c r="C28" s="143" t="s">
        <v>175</v>
      </c>
      <c r="D28" s="143"/>
      <c r="E28" s="143"/>
      <c r="F28" s="143"/>
      <c r="G28" s="143"/>
      <c r="H28" s="112"/>
      <c r="I28" s="112"/>
      <c r="J28" s="112"/>
      <c r="K28" s="112"/>
      <c r="L28" s="1074"/>
      <c r="M28" s="110"/>
      <c r="N28" s="110"/>
      <c r="O28" s="110"/>
      <c r="P28" s="39"/>
      <c r="Q28" s="1081"/>
      <c r="R28" s="1081"/>
      <c r="S28" s="1078"/>
      <c r="T28" s="133"/>
      <c r="U28" s="1081"/>
      <c r="V28" s="1081"/>
      <c r="W28" s="896"/>
    </row>
    <row r="29" spans="2:23" x14ac:dyDescent="0.25">
      <c r="B29" s="1072"/>
      <c r="C29" s="110"/>
      <c r="D29" s="263" t="s">
        <v>176</v>
      </c>
      <c r="E29" s="263"/>
      <c r="F29" s="263"/>
      <c r="G29" s="263"/>
      <c r="H29" s="263"/>
      <c r="I29" s="702">
        <f t="shared" ref="I29:I45" si="5">IFERROR(J29/J$118," ")</f>
        <v>2.068949031952053E-3</v>
      </c>
      <c r="J29" s="96">
        <f t="shared" ref="J29:J44" si="6">K29+T29</f>
        <v>34708</v>
      </c>
      <c r="K29" s="57">
        <f t="shared" ref="K29:K44" si="7">SUM(L29:R29)</f>
        <v>33176</v>
      </c>
      <c r="L29" s="67">
        <v>33176</v>
      </c>
      <c r="M29" s="47"/>
      <c r="N29" s="47"/>
      <c r="O29" s="2086"/>
      <c r="P29" s="47"/>
      <c r="Q29" s="47"/>
      <c r="R29" s="47"/>
      <c r="S29" s="1082"/>
      <c r="T29" s="59">
        <f t="shared" ref="T29:T44" si="8">SUM(U29:V29)</f>
        <v>1532</v>
      </c>
      <c r="U29" s="67">
        <v>1532</v>
      </c>
      <c r="V29" s="55"/>
      <c r="W29" s="896"/>
    </row>
    <row r="30" spans="2:23" x14ac:dyDescent="0.25">
      <c r="B30" s="1072"/>
      <c r="C30" s="110"/>
      <c r="D30" s="109" t="s">
        <v>177</v>
      </c>
      <c r="E30" s="109"/>
      <c r="F30" s="109"/>
      <c r="G30" s="109"/>
      <c r="H30" s="109"/>
      <c r="I30" s="703">
        <f t="shared" si="5"/>
        <v>0.59513931696426736</v>
      </c>
      <c r="J30" s="97">
        <f t="shared" si="6"/>
        <v>9983859</v>
      </c>
      <c r="K30" s="45">
        <f t="shared" si="7"/>
        <v>9753626</v>
      </c>
      <c r="L30" s="69">
        <v>164550</v>
      </c>
      <c r="M30" s="48"/>
      <c r="N30" s="48"/>
      <c r="O30" s="48"/>
      <c r="P30" s="48">
        <v>9539076</v>
      </c>
      <c r="Q30" s="48"/>
      <c r="R30" s="48">
        <v>50000</v>
      </c>
      <c r="S30" s="1084"/>
      <c r="T30" s="72">
        <f t="shared" si="8"/>
        <v>230233</v>
      </c>
      <c r="U30" s="69">
        <v>215736</v>
      </c>
      <c r="V30" s="56">
        <v>14497</v>
      </c>
      <c r="W30" s="896"/>
    </row>
    <row r="31" spans="2:23" x14ac:dyDescent="0.25">
      <c r="B31" s="1072"/>
      <c r="C31" s="110"/>
      <c r="D31" s="109" t="s">
        <v>178</v>
      </c>
      <c r="E31" s="109"/>
      <c r="F31" s="109"/>
      <c r="G31" s="109"/>
      <c r="H31" s="109"/>
      <c r="I31" s="703">
        <f t="shared" si="5"/>
        <v>0</v>
      </c>
      <c r="J31" s="97">
        <f t="shared" si="6"/>
        <v>0</v>
      </c>
      <c r="K31" s="45">
        <f t="shared" si="7"/>
        <v>0</v>
      </c>
      <c r="L31" s="69"/>
      <c r="M31" s="48"/>
      <c r="N31" s="48"/>
      <c r="O31" s="48"/>
      <c r="P31" s="48"/>
      <c r="Q31" s="48"/>
      <c r="R31" s="48"/>
      <c r="S31" s="1084"/>
      <c r="T31" s="72">
        <f t="shared" si="8"/>
        <v>0</v>
      </c>
      <c r="U31" s="69"/>
      <c r="V31" s="56"/>
      <c r="W31" s="896"/>
    </row>
    <row r="32" spans="2:23" x14ac:dyDescent="0.25">
      <c r="B32" s="1072"/>
      <c r="C32" s="110"/>
      <c r="D32" s="109" t="s">
        <v>179</v>
      </c>
      <c r="E32" s="109"/>
      <c r="F32" s="109"/>
      <c r="G32" s="109"/>
      <c r="H32" s="109"/>
      <c r="I32" s="703">
        <f t="shared" si="5"/>
        <v>0</v>
      </c>
      <c r="J32" s="97">
        <f t="shared" si="6"/>
        <v>0</v>
      </c>
      <c r="K32" s="45">
        <f t="shared" si="7"/>
        <v>0</v>
      </c>
      <c r="L32" s="69"/>
      <c r="M32" s="48"/>
      <c r="N32" s="48"/>
      <c r="O32" s="48"/>
      <c r="P32" s="48"/>
      <c r="Q32" s="48"/>
      <c r="R32" s="48"/>
      <c r="S32" s="1084"/>
      <c r="T32" s="72">
        <f t="shared" si="8"/>
        <v>0</v>
      </c>
      <c r="U32" s="69"/>
      <c r="V32" s="56"/>
      <c r="W32" s="896"/>
    </row>
    <row r="33" spans="2:23" x14ac:dyDescent="0.25">
      <c r="B33" s="1072"/>
      <c r="C33" s="110"/>
      <c r="D33" s="109" t="s">
        <v>180</v>
      </c>
      <c r="E33" s="109"/>
      <c r="F33" s="109"/>
      <c r="G33" s="109"/>
      <c r="H33" s="109"/>
      <c r="I33" s="703">
        <f t="shared" si="5"/>
        <v>0</v>
      </c>
      <c r="J33" s="97">
        <f t="shared" si="6"/>
        <v>0</v>
      </c>
      <c r="K33" s="45">
        <f t="shared" si="7"/>
        <v>0</v>
      </c>
      <c r="L33" s="69"/>
      <c r="M33" s="48"/>
      <c r="N33" s="48"/>
      <c r="O33" s="48"/>
      <c r="P33" s="48"/>
      <c r="Q33" s="48"/>
      <c r="R33" s="48"/>
      <c r="S33" s="1084"/>
      <c r="T33" s="72">
        <f t="shared" si="8"/>
        <v>0</v>
      </c>
      <c r="U33" s="69"/>
      <c r="V33" s="56"/>
      <c r="W33" s="896"/>
    </row>
    <row r="34" spans="2:23" x14ac:dyDescent="0.25">
      <c r="B34" s="1072"/>
      <c r="C34" s="110"/>
      <c r="D34" s="109" t="s">
        <v>647</v>
      </c>
      <c r="E34" s="109"/>
      <c r="F34" s="109"/>
      <c r="G34" s="701">
        <f>IFERROR(J34/(J30+J32+J33+J42),"")</f>
        <v>5.5710061216105257E-2</v>
      </c>
      <c r="H34" s="118"/>
      <c r="I34" s="703">
        <f t="shared" si="5"/>
        <v>3.3350924288137095E-2</v>
      </c>
      <c r="J34" s="97">
        <f>K34+T34</f>
        <v>559484</v>
      </c>
      <c r="K34" s="45">
        <f t="shared" si="7"/>
        <v>543400</v>
      </c>
      <c r="L34" s="69"/>
      <c r="M34" s="48"/>
      <c r="N34" s="48"/>
      <c r="O34" s="48"/>
      <c r="P34" s="48">
        <v>543400</v>
      </c>
      <c r="Q34" s="48"/>
      <c r="R34" s="48"/>
      <c r="S34" s="1084"/>
      <c r="T34" s="72">
        <f t="shared" si="8"/>
        <v>16084</v>
      </c>
      <c r="U34" s="69"/>
      <c r="V34" s="56">
        <v>16084</v>
      </c>
      <c r="W34" s="896"/>
    </row>
    <row r="35" spans="2:23" x14ac:dyDescent="0.25">
      <c r="B35" s="1072"/>
      <c r="C35" s="110"/>
      <c r="D35" s="109" t="s">
        <v>182</v>
      </c>
      <c r="E35" s="109"/>
      <c r="F35" s="109"/>
      <c r="G35" s="701">
        <f>IFERROR(J35/(J31+J32+J33+J42),"")</f>
        <v>0</v>
      </c>
      <c r="H35" s="118"/>
      <c r="I35" s="703">
        <f t="shared" si="5"/>
        <v>0</v>
      </c>
      <c r="J35" s="97">
        <f t="shared" si="6"/>
        <v>0</v>
      </c>
      <c r="K35" s="45">
        <f t="shared" si="7"/>
        <v>0</v>
      </c>
      <c r="L35" s="69"/>
      <c r="M35" s="48"/>
      <c r="N35" s="48"/>
      <c r="O35" s="48"/>
      <c r="P35" s="48"/>
      <c r="Q35" s="48"/>
      <c r="R35" s="48"/>
      <c r="S35" s="1084"/>
      <c r="T35" s="72">
        <f t="shared" si="8"/>
        <v>0</v>
      </c>
      <c r="U35" s="69"/>
      <c r="V35" s="56"/>
      <c r="W35" s="896"/>
    </row>
    <row r="36" spans="2:23" x14ac:dyDescent="0.25">
      <c r="B36" s="1072"/>
      <c r="C36" s="110"/>
      <c r="D36" s="109" t="s">
        <v>183</v>
      </c>
      <c r="E36" s="109"/>
      <c r="F36" s="109"/>
      <c r="G36" s="109"/>
      <c r="H36" s="109"/>
      <c r="I36" s="703">
        <f t="shared" si="5"/>
        <v>0</v>
      </c>
      <c r="J36" s="97">
        <f t="shared" si="6"/>
        <v>0</v>
      </c>
      <c r="K36" s="45">
        <f t="shared" si="7"/>
        <v>0</v>
      </c>
      <c r="L36" s="69"/>
      <c r="M36" s="48"/>
      <c r="N36" s="48"/>
      <c r="O36" s="48"/>
      <c r="P36" s="48"/>
      <c r="Q36" s="48"/>
      <c r="R36" s="48"/>
      <c r="S36" s="1084"/>
      <c r="T36" s="72">
        <f t="shared" si="8"/>
        <v>0</v>
      </c>
      <c r="U36" s="69"/>
      <c r="V36" s="56"/>
      <c r="W36" s="896"/>
    </row>
    <row r="37" spans="2:23" x14ac:dyDescent="0.25">
      <c r="B37" s="1072"/>
      <c r="C37" s="110"/>
      <c r="D37" s="109" t="s">
        <v>184</v>
      </c>
      <c r="E37" s="109"/>
      <c r="F37" s="109"/>
      <c r="G37" s="109"/>
      <c r="H37" s="109"/>
      <c r="I37" s="703">
        <f t="shared" si="5"/>
        <v>3.054900887100346E-3</v>
      </c>
      <c r="J37" s="97">
        <f t="shared" si="6"/>
        <v>51248</v>
      </c>
      <c r="K37" s="45">
        <f t="shared" si="7"/>
        <v>48986</v>
      </c>
      <c r="L37" s="69"/>
      <c r="M37" s="48"/>
      <c r="N37" s="48"/>
      <c r="O37" s="48"/>
      <c r="P37" s="48">
        <v>48986</v>
      </c>
      <c r="Q37" s="48"/>
      <c r="R37" s="48"/>
      <c r="S37" s="1084"/>
      <c r="T37" s="72">
        <f t="shared" si="8"/>
        <v>2262</v>
      </c>
      <c r="U37" s="69"/>
      <c r="V37" s="56">
        <v>2262</v>
      </c>
      <c r="W37" s="896"/>
    </row>
    <row r="38" spans="2:23" x14ac:dyDescent="0.25">
      <c r="B38" s="1072"/>
      <c r="C38" s="110"/>
      <c r="D38" s="109" t="s">
        <v>185</v>
      </c>
      <c r="E38" s="109"/>
      <c r="F38" s="109"/>
      <c r="G38" s="109"/>
      <c r="H38" s="109"/>
      <c r="I38" s="703">
        <f t="shared" si="5"/>
        <v>0</v>
      </c>
      <c r="J38" s="97">
        <f t="shared" si="6"/>
        <v>0</v>
      </c>
      <c r="K38" s="45">
        <f t="shared" si="7"/>
        <v>0</v>
      </c>
      <c r="L38" s="69"/>
      <c r="M38" s="48"/>
      <c r="N38" s="48"/>
      <c r="O38" s="48"/>
      <c r="P38" s="48"/>
      <c r="Q38" s="48"/>
      <c r="R38" s="48"/>
      <c r="S38" s="1084"/>
      <c r="T38" s="72">
        <f t="shared" si="8"/>
        <v>0</v>
      </c>
      <c r="U38" s="69"/>
      <c r="V38" s="56"/>
      <c r="W38" s="896"/>
    </row>
    <row r="39" spans="2:23" x14ac:dyDescent="0.25">
      <c r="B39" s="1072"/>
      <c r="C39" s="110"/>
      <c r="D39" s="109" t="s">
        <v>186</v>
      </c>
      <c r="E39" s="109"/>
      <c r="F39" s="109"/>
      <c r="G39" s="109"/>
      <c r="H39" s="109"/>
      <c r="I39" s="703">
        <f t="shared" si="5"/>
        <v>0</v>
      </c>
      <c r="J39" s="97">
        <f t="shared" si="6"/>
        <v>0</v>
      </c>
      <c r="K39" s="45">
        <f t="shared" si="7"/>
        <v>0</v>
      </c>
      <c r="L39" s="69"/>
      <c r="M39" s="48"/>
      <c r="N39" s="48"/>
      <c r="O39" s="48"/>
      <c r="P39" s="48"/>
      <c r="Q39" s="48"/>
      <c r="R39" s="48"/>
      <c r="S39" s="1084"/>
      <c r="T39" s="72">
        <f t="shared" si="8"/>
        <v>0</v>
      </c>
      <c r="U39" s="69"/>
      <c r="V39" s="56"/>
      <c r="W39" s="896"/>
    </row>
    <row r="40" spans="2:23" x14ac:dyDescent="0.25">
      <c r="B40" s="1072"/>
      <c r="C40" s="110"/>
      <c r="D40" s="109" t="s">
        <v>187</v>
      </c>
      <c r="E40" s="109"/>
      <c r="F40" s="109"/>
      <c r="G40" s="109"/>
      <c r="H40" s="109"/>
      <c r="I40" s="703">
        <f t="shared" si="5"/>
        <v>0</v>
      </c>
      <c r="J40" s="97">
        <f t="shared" si="6"/>
        <v>0</v>
      </c>
      <c r="K40" s="45">
        <f t="shared" si="7"/>
        <v>0</v>
      </c>
      <c r="L40" s="69"/>
      <c r="M40" s="48"/>
      <c r="N40" s="48"/>
      <c r="O40" s="48"/>
      <c r="P40" s="48"/>
      <c r="Q40" s="48"/>
      <c r="R40" s="48"/>
      <c r="S40" s="1084"/>
      <c r="T40" s="72">
        <f t="shared" si="8"/>
        <v>0</v>
      </c>
      <c r="U40" s="69"/>
      <c r="V40" s="56"/>
      <c r="W40" s="896"/>
    </row>
    <row r="41" spans="2:23" x14ac:dyDescent="0.25">
      <c r="B41" s="1072"/>
      <c r="C41" s="110"/>
      <c r="D41" s="109" t="s">
        <v>188</v>
      </c>
      <c r="E41" s="109"/>
      <c r="F41" s="109"/>
      <c r="G41" s="109"/>
      <c r="H41" s="109"/>
      <c r="I41" s="703">
        <f t="shared" si="5"/>
        <v>5.842497946579412E-2</v>
      </c>
      <c r="J41" s="97">
        <f t="shared" si="6"/>
        <v>980118</v>
      </c>
      <c r="K41" s="45">
        <f t="shared" si="7"/>
        <v>951942</v>
      </c>
      <c r="L41" s="69">
        <v>100000</v>
      </c>
      <c r="M41" s="48"/>
      <c r="N41" s="48">
        <v>363379</v>
      </c>
      <c r="O41" s="48"/>
      <c r="P41" s="48">
        <v>488563</v>
      </c>
      <c r="Q41" s="48"/>
      <c r="R41" s="48"/>
      <c r="S41" s="1084"/>
      <c r="T41" s="72">
        <f t="shared" si="8"/>
        <v>28176</v>
      </c>
      <c r="U41" s="69"/>
      <c r="V41" s="56">
        <v>28176</v>
      </c>
      <c r="W41" s="896"/>
    </row>
    <row r="42" spans="2:23" x14ac:dyDescent="0.25">
      <c r="B42" s="1072"/>
      <c r="C42" s="110"/>
      <c r="D42" s="109" t="s">
        <v>189</v>
      </c>
      <c r="E42" s="109"/>
      <c r="F42" s="109"/>
      <c r="G42" s="109"/>
      <c r="H42" s="109"/>
      <c r="I42" s="703">
        <f t="shared" si="5"/>
        <v>3.5124087763544662E-3</v>
      </c>
      <c r="J42" s="97">
        <f t="shared" si="6"/>
        <v>58923</v>
      </c>
      <c r="K42" s="45">
        <f t="shared" si="7"/>
        <v>56322</v>
      </c>
      <c r="L42" s="69"/>
      <c r="M42" s="48"/>
      <c r="N42" s="48"/>
      <c r="O42" s="48">
        <v>56322</v>
      </c>
      <c r="P42" s="48"/>
      <c r="Q42" s="48"/>
      <c r="R42" s="48"/>
      <c r="S42" s="1084"/>
      <c r="T42" s="72">
        <f t="shared" si="8"/>
        <v>2601</v>
      </c>
      <c r="U42" s="69"/>
      <c r="V42" s="56">
        <v>2601</v>
      </c>
      <c r="W42" s="896"/>
    </row>
    <row r="43" spans="2:23" x14ac:dyDescent="0.25">
      <c r="B43" s="1072"/>
      <c r="C43" s="110"/>
      <c r="D43" s="109" t="s">
        <v>190</v>
      </c>
      <c r="E43" s="109"/>
      <c r="F43" s="109"/>
      <c r="G43" s="109"/>
      <c r="H43" s="109"/>
      <c r="I43" s="703">
        <f t="shared" si="5"/>
        <v>1.4274842246212922E-3</v>
      </c>
      <c r="J43" s="97">
        <f t="shared" si="6"/>
        <v>23947</v>
      </c>
      <c r="K43" s="45">
        <f t="shared" si="7"/>
        <v>23947</v>
      </c>
      <c r="L43" s="69"/>
      <c r="M43" s="48"/>
      <c r="N43" s="48">
        <v>23947</v>
      </c>
      <c r="O43" s="48"/>
      <c r="P43" s="48"/>
      <c r="Q43" s="48"/>
      <c r="R43" s="48"/>
      <c r="S43" s="1084"/>
      <c r="T43" s="72">
        <f t="shared" si="8"/>
        <v>0</v>
      </c>
      <c r="U43" s="69"/>
      <c r="V43" s="56"/>
      <c r="W43" s="896"/>
    </row>
    <row r="44" spans="2:23" x14ac:dyDescent="0.25">
      <c r="B44" s="1072"/>
      <c r="C44" s="110"/>
      <c r="D44" s="114" t="s">
        <v>476</v>
      </c>
      <c r="E44" s="2280" t="s">
        <v>1553</v>
      </c>
      <c r="F44" s="2281"/>
      <c r="G44" s="2282"/>
      <c r="H44" s="114"/>
      <c r="I44" s="703">
        <f t="shared" si="5"/>
        <v>3.3903271923554517E-3</v>
      </c>
      <c r="J44" s="98">
        <f t="shared" si="6"/>
        <v>56875</v>
      </c>
      <c r="K44" s="62">
        <f t="shared" si="7"/>
        <v>0</v>
      </c>
      <c r="L44" s="75"/>
      <c r="M44" s="51"/>
      <c r="N44" s="51"/>
      <c r="O44" s="51"/>
      <c r="P44" s="51"/>
      <c r="Q44" s="51"/>
      <c r="R44" s="51"/>
      <c r="S44" s="1084"/>
      <c r="T44" s="73">
        <f t="shared" si="8"/>
        <v>56875</v>
      </c>
      <c r="U44" s="75"/>
      <c r="V44" s="79">
        <v>56875</v>
      </c>
      <c r="W44" s="896"/>
    </row>
    <row r="45" spans="2:23" ht="15.75" thickBot="1" x14ac:dyDescent="0.3">
      <c r="B45" s="1072"/>
      <c r="C45" s="110"/>
      <c r="D45" s="109"/>
      <c r="E45" s="109"/>
      <c r="F45" s="109"/>
      <c r="G45" s="113" t="s">
        <v>174</v>
      </c>
      <c r="H45" s="113"/>
      <c r="I45" s="704">
        <f t="shared" si="5"/>
        <v>0.70036929083058219</v>
      </c>
      <c r="J45" s="99">
        <f t="shared" ref="J45:R45" si="9">SUM(J29:J44)</f>
        <v>11749162</v>
      </c>
      <c r="K45" s="60">
        <f t="shared" si="9"/>
        <v>11411399</v>
      </c>
      <c r="L45" s="1086">
        <f t="shared" si="9"/>
        <v>297726</v>
      </c>
      <c r="M45" s="1087">
        <f t="shared" si="9"/>
        <v>0</v>
      </c>
      <c r="N45" s="1087">
        <f t="shared" si="9"/>
        <v>387326</v>
      </c>
      <c r="O45" s="1087">
        <f t="shared" si="9"/>
        <v>56322</v>
      </c>
      <c r="P45" s="1087">
        <f t="shared" si="9"/>
        <v>10620025</v>
      </c>
      <c r="Q45" s="1087">
        <f t="shared" si="9"/>
        <v>0</v>
      </c>
      <c r="R45" s="1087">
        <f t="shared" si="9"/>
        <v>50000</v>
      </c>
      <c r="S45" s="1088"/>
      <c r="T45" s="1089">
        <f>SUM(T29:T44)</f>
        <v>337763</v>
      </c>
      <c r="U45" s="1086">
        <f>SUM(U29:U44)</f>
        <v>217268</v>
      </c>
      <c r="V45" s="1090">
        <f>SUM(V29:V44)</f>
        <v>120495</v>
      </c>
      <c r="W45" s="896"/>
    </row>
    <row r="46" spans="2:23" ht="9" customHeight="1" thickBot="1" x14ac:dyDescent="0.3">
      <c r="B46" s="1092"/>
      <c r="C46" s="85"/>
      <c r="D46" s="85"/>
      <c r="E46" s="85"/>
      <c r="F46" s="85"/>
      <c r="G46" s="85"/>
      <c r="H46" s="85"/>
      <c r="I46" s="916"/>
      <c r="J46" s="1093"/>
      <c r="K46" s="1094"/>
      <c r="L46" s="1095"/>
      <c r="M46" s="86"/>
      <c r="N46" s="86"/>
      <c r="O46" s="86"/>
      <c r="P46" s="86"/>
      <c r="Q46" s="1094"/>
      <c r="R46" s="86"/>
      <c r="S46" s="1096"/>
      <c r="T46" s="86"/>
      <c r="U46" s="1095"/>
      <c r="V46" s="86"/>
      <c r="W46" s="917"/>
    </row>
    <row r="47" spans="2:23" ht="15.75" thickBot="1" x14ac:dyDescent="0.3">
      <c r="B47" s="1072"/>
      <c r="C47" s="143" t="s">
        <v>191</v>
      </c>
      <c r="D47" s="143"/>
      <c r="E47" s="143"/>
      <c r="F47" s="143"/>
      <c r="G47" s="143"/>
      <c r="H47" s="112"/>
      <c r="I47" s="112"/>
      <c r="J47" s="112"/>
      <c r="K47" s="112"/>
      <c r="L47" s="1074"/>
      <c r="M47" s="110"/>
      <c r="N47" s="110"/>
      <c r="O47" s="110"/>
      <c r="P47" s="39"/>
      <c r="Q47" s="1081"/>
      <c r="R47" s="1081"/>
      <c r="S47" s="1078"/>
      <c r="T47" s="133"/>
      <c r="U47" s="1081"/>
      <c r="V47" s="1081"/>
      <c r="W47" s="896"/>
    </row>
    <row r="48" spans="2:23" x14ac:dyDescent="0.25">
      <c r="B48" s="1072"/>
      <c r="C48" s="110"/>
      <c r="D48" s="263" t="s">
        <v>192</v>
      </c>
      <c r="E48" s="263"/>
      <c r="F48" s="263"/>
      <c r="G48" s="263"/>
      <c r="H48" s="263"/>
      <c r="I48" s="702">
        <f t="shared" ref="I48:I61" si="10">IFERROR(J48/J$118," ")</f>
        <v>2.9328193031013313E-4</v>
      </c>
      <c r="J48" s="96">
        <f t="shared" ref="J48:J60" si="11">K48+T48</f>
        <v>4920</v>
      </c>
      <c r="K48" s="57">
        <f t="shared" ref="K48:K60" si="12">SUM(L48:R48)</f>
        <v>4703</v>
      </c>
      <c r="L48" s="67"/>
      <c r="M48" s="47"/>
      <c r="N48" s="47"/>
      <c r="O48" s="47">
        <v>4703</v>
      </c>
      <c r="P48" s="47"/>
      <c r="Q48" s="47"/>
      <c r="R48" s="47"/>
      <c r="S48" s="1082"/>
      <c r="T48" s="59">
        <f t="shared" ref="T48:T60" si="13">SUM(U48:V48)</f>
        <v>217</v>
      </c>
      <c r="U48" s="67"/>
      <c r="V48" s="55">
        <v>217</v>
      </c>
      <c r="W48" s="896"/>
    </row>
    <row r="49" spans="2:23" x14ac:dyDescent="0.25">
      <c r="B49" s="1072"/>
      <c r="C49" s="110"/>
      <c r="D49" s="109" t="s">
        <v>193</v>
      </c>
      <c r="E49" s="109"/>
      <c r="F49" s="109"/>
      <c r="G49" s="109"/>
      <c r="H49" s="109"/>
      <c r="I49" s="703">
        <f t="shared" si="10"/>
        <v>1.4276630550666034E-4</v>
      </c>
      <c r="J49" s="97">
        <f t="shared" si="11"/>
        <v>2395</v>
      </c>
      <c r="K49" s="45">
        <f t="shared" si="12"/>
        <v>2395</v>
      </c>
      <c r="L49" s="69"/>
      <c r="M49" s="48"/>
      <c r="N49" s="48"/>
      <c r="O49" s="48">
        <v>2395</v>
      </c>
      <c r="P49" s="48"/>
      <c r="Q49" s="48"/>
      <c r="R49" s="48"/>
      <c r="S49" s="1084"/>
      <c r="T49" s="72">
        <f t="shared" si="13"/>
        <v>0</v>
      </c>
      <c r="U49" s="69"/>
      <c r="V49" s="56"/>
      <c r="W49" s="896"/>
    </row>
    <row r="50" spans="2:23" x14ac:dyDescent="0.25">
      <c r="B50" s="1072"/>
      <c r="C50" s="110"/>
      <c r="D50" s="109" t="s">
        <v>194</v>
      </c>
      <c r="E50" s="109"/>
      <c r="F50" s="109"/>
      <c r="G50" s="109"/>
      <c r="H50" s="109"/>
      <c r="I50" s="703">
        <f t="shared" si="10"/>
        <v>3.0671328895596223E-2</v>
      </c>
      <c r="J50" s="97">
        <f t="shared" si="11"/>
        <v>514532</v>
      </c>
      <c r="K50" s="45">
        <f t="shared" si="12"/>
        <v>491819</v>
      </c>
      <c r="L50" s="69"/>
      <c r="M50" s="48"/>
      <c r="N50" s="48"/>
      <c r="O50" s="48">
        <v>491819</v>
      </c>
      <c r="P50" s="48"/>
      <c r="Q50" s="48"/>
      <c r="R50" s="48"/>
      <c r="S50" s="1084"/>
      <c r="T50" s="72">
        <f t="shared" si="13"/>
        <v>22713</v>
      </c>
      <c r="U50" s="69"/>
      <c r="V50" s="56">
        <v>22713</v>
      </c>
      <c r="W50" s="896"/>
    </row>
    <row r="51" spans="2:23" x14ac:dyDescent="0.25">
      <c r="B51" s="1072"/>
      <c r="C51" s="110"/>
      <c r="D51" s="109" t="s">
        <v>195</v>
      </c>
      <c r="E51" s="109"/>
      <c r="F51" s="109"/>
      <c r="G51" s="109"/>
      <c r="H51" s="109"/>
      <c r="I51" s="703">
        <f t="shared" si="10"/>
        <v>0</v>
      </c>
      <c r="J51" s="97">
        <f t="shared" si="11"/>
        <v>0</v>
      </c>
      <c r="K51" s="45">
        <f t="shared" si="12"/>
        <v>0</v>
      </c>
      <c r="L51" s="69"/>
      <c r="M51" s="48"/>
      <c r="N51" s="48"/>
      <c r="O51" s="48"/>
      <c r="P51" s="48"/>
      <c r="Q51" s="48"/>
      <c r="R51" s="48"/>
      <c r="S51" s="1084"/>
      <c r="T51" s="72">
        <f t="shared" si="13"/>
        <v>0</v>
      </c>
      <c r="U51" s="69"/>
      <c r="V51" s="56"/>
      <c r="W51" s="896"/>
    </row>
    <row r="52" spans="2:23" x14ac:dyDescent="0.25">
      <c r="B52" s="1072"/>
      <c r="C52" s="110"/>
      <c r="D52" s="115" t="s">
        <v>196</v>
      </c>
      <c r="E52" s="115"/>
      <c r="F52" s="115"/>
      <c r="G52" s="115"/>
      <c r="H52" s="115"/>
      <c r="I52" s="703">
        <f t="shared" si="10"/>
        <v>1.9552128687342209E-4</v>
      </c>
      <c r="J52" s="97">
        <f t="shared" si="11"/>
        <v>3280</v>
      </c>
      <c r="K52" s="45">
        <f t="shared" si="12"/>
        <v>3135</v>
      </c>
      <c r="L52" s="69"/>
      <c r="M52" s="48"/>
      <c r="N52" s="48"/>
      <c r="O52" s="48">
        <v>3135</v>
      </c>
      <c r="P52" s="48"/>
      <c r="Q52" s="48"/>
      <c r="R52" s="48"/>
      <c r="S52" s="1084"/>
      <c r="T52" s="72">
        <f t="shared" si="13"/>
        <v>145</v>
      </c>
      <c r="U52" s="69"/>
      <c r="V52" s="56">
        <v>145</v>
      </c>
      <c r="W52" s="896"/>
    </row>
    <row r="53" spans="2:23" x14ac:dyDescent="0.25">
      <c r="B53" s="1072"/>
      <c r="C53" s="110"/>
      <c r="D53" s="109" t="s">
        <v>197</v>
      </c>
      <c r="E53" s="109"/>
      <c r="F53" s="109"/>
      <c r="G53" s="109"/>
      <c r="H53" s="109"/>
      <c r="I53" s="703">
        <f t="shared" si="10"/>
        <v>6.5016788900256546E-4</v>
      </c>
      <c r="J53" s="97">
        <f t="shared" si="11"/>
        <v>10907</v>
      </c>
      <c r="K53" s="45">
        <f t="shared" si="12"/>
        <v>10426</v>
      </c>
      <c r="L53" s="69"/>
      <c r="M53" s="48"/>
      <c r="N53" s="48"/>
      <c r="O53" s="48">
        <v>10426</v>
      </c>
      <c r="P53" s="48"/>
      <c r="Q53" s="48"/>
      <c r="R53" s="48"/>
      <c r="S53" s="1084"/>
      <c r="T53" s="72">
        <f t="shared" si="13"/>
        <v>481</v>
      </c>
      <c r="U53" s="69"/>
      <c r="V53" s="56">
        <v>481</v>
      </c>
      <c r="W53" s="896"/>
    </row>
    <row r="54" spans="2:23" x14ac:dyDescent="0.25">
      <c r="B54" s="1072"/>
      <c r="C54" s="110"/>
      <c r="D54" s="109" t="s">
        <v>198</v>
      </c>
      <c r="E54" s="109"/>
      <c r="F54" s="109"/>
      <c r="G54" s="109"/>
      <c r="H54" s="109"/>
      <c r="I54" s="703">
        <f t="shared" si="10"/>
        <v>8.8187253597725803E-4</v>
      </c>
      <c r="J54" s="97">
        <f t="shared" si="11"/>
        <v>14794</v>
      </c>
      <c r="K54" s="45">
        <f t="shared" si="12"/>
        <v>14794</v>
      </c>
      <c r="L54" s="69"/>
      <c r="M54" s="48"/>
      <c r="N54" s="48"/>
      <c r="O54" s="48">
        <v>14794</v>
      </c>
      <c r="P54" s="48"/>
      <c r="Q54" s="48"/>
      <c r="R54" s="48"/>
      <c r="S54" s="1084"/>
      <c r="T54" s="72">
        <f t="shared" si="13"/>
        <v>0</v>
      </c>
      <c r="U54" s="69"/>
      <c r="V54" s="56"/>
      <c r="W54" s="896"/>
    </row>
    <row r="55" spans="2:23" x14ac:dyDescent="0.25">
      <c r="B55" s="1072"/>
      <c r="C55" s="110"/>
      <c r="D55" s="109" t="s">
        <v>199</v>
      </c>
      <c r="E55" s="109"/>
      <c r="F55" s="109"/>
      <c r="G55" s="109"/>
      <c r="H55" s="109"/>
      <c r="I55" s="703">
        <f t="shared" si="10"/>
        <v>4.3991097343551227E-3</v>
      </c>
      <c r="J55" s="97">
        <f t="shared" si="11"/>
        <v>73798</v>
      </c>
      <c r="K55" s="45">
        <f t="shared" si="12"/>
        <v>70540</v>
      </c>
      <c r="L55" s="69"/>
      <c r="M55" s="48"/>
      <c r="N55" s="48"/>
      <c r="O55" s="48">
        <v>70540</v>
      </c>
      <c r="P55" s="48"/>
      <c r="Q55" s="48"/>
      <c r="R55" s="48"/>
      <c r="S55" s="1084"/>
      <c r="T55" s="72">
        <f t="shared" si="13"/>
        <v>3258</v>
      </c>
      <c r="U55" s="69"/>
      <c r="V55" s="56">
        <v>3258</v>
      </c>
      <c r="W55" s="896"/>
    </row>
    <row r="56" spans="2:23" x14ac:dyDescent="0.25">
      <c r="B56" s="1072"/>
      <c r="C56" s="110"/>
      <c r="D56" s="115" t="s">
        <v>200</v>
      </c>
      <c r="E56" s="115"/>
      <c r="F56" s="115"/>
      <c r="G56" s="115"/>
      <c r="H56" s="115"/>
      <c r="I56" s="703">
        <f t="shared" si="10"/>
        <v>3.9831143524725422E-2</v>
      </c>
      <c r="J56" s="97">
        <f t="shared" si="11"/>
        <v>668194</v>
      </c>
      <c r="K56" s="45">
        <f t="shared" si="12"/>
        <v>667511</v>
      </c>
      <c r="L56" s="69"/>
      <c r="M56" s="48"/>
      <c r="N56" s="48"/>
      <c r="O56" s="48"/>
      <c r="P56" s="48">
        <v>358978</v>
      </c>
      <c r="Q56" s="48">
        <v>308533</v>
      </c>
      <c r="R56" s="48"/>
      <c r="S56" s="1084"/>
      <c r="T56" s="72">
        <f t="shared" si="13"/>
        <v>683</v>
      </c>
      <c r="U56" s="69"/>
      <c r="V56" s="56">
        <v>683</v>
      </c>
      <c r="W56" s="896"/>
    </row>
    <row r="57" spans="2:23" x14ac:dyDescent="0.25">
      <c r="B57" s="1072"/>
      <c r="C57" s="110"/>
      <c r="D57" s="115" t="s">
        <v>201</v>
      </c>
      <c r="E57" s="115"/>
      <c r="F57" s="115"/>
      <c r="G57" s="115"/>
      <c r="H57" s="115"/>
      <c r="I57" s="703">
        <f t="shared" si="10"/>
        <v>5.8654597757573515E-3</v>
      </c>
      <c r="J57" s="97">
        <f t="shared" si="11"/>
        <v>98397</v>
      </c>
      <c r="K57" s="45">
        <f t="shared" si="12"/>
        <v>94053</v>
      </c>
      <c r="L57" s="69">
        <v>94053</v>
      </c>
      <c r="M57" s="48"/>
      <c r="N57" s="48"/>
      <c r="O57" s="48"/>
      <c r="P57" s="48"/>
      <c r="Q57" s="48"/>
      <c r="R57" s="48"/>
      <c r="S57" s="1084"/>
      <c r="T57" s="72">
        <f t="shared" si="13"/>
        <v>4344</v>
      </c>
      <c r="U57" s="69"/>
      <c r="V57" s="56">
        <v>4344</v>
      </c>
      <c r="W57" s="896"/>
    </row>
    <row r="58" spans="2:23" x14ac:dyDescent="0.25">
      <c r="B58" s="1072"/>
      <c r="C58" s="110"/>
      <c r="D58" s="115" t="s">
        <v>202</v>
      </c>
      <c r="E58" s="115"/>
      <c r="F58" s="115"/>
      <c r="G58" s="115"/>
      <c r="H58" s="115"/>
      <c r="I58" s="703">
        <f t="shared" si="10"/>
        <v>1.7840721325715395E-3</v>
      </c>
      <c r="J58" s="97">
        <f t="shared" si="11"/>
        <v>29929</v>
      </c>
      <c r="K58" s="45">
        <f t="shared" si="12"/>
        <v>28608</v>
      </c>
      <c r="L58" s="74"/>
      <c r="M58" s="46"/>
      <c r="N58" s="46"/>
      <c r="O58" s="46">
        <v>28608</v>
      </c>
      <c r="P58" s="46"/>
      <c r="Q58" s="46"/>
      <c r="R58" s="46"/>
      <c r="S58" s="1084"/>
      <c r="T58" s="72">
        <f t="shared" si="13"/>
        <v>1321</v>
      </c>
      <c r="U58" s="74"/>
      <c r="V58" s="49">
        <v>1321</v>
      </c>
      <c r="W58" s="896"/>
    </row>
    <row r="59" spans="2:23" x14ac:dyDescent="0.25">
      <c r="B59" s="1072"/>
      <c r="C59" s="110"/>
      <c r="D59" s="148" t="s">
        <v>203</v>
      </c>
      <c r="E59" s="148"/>
      <c r="F59" s="148"/>
      <c r="G59" s="148"/>
      <c r="H59" s="148"/>
      <c r="I59" s="703">
        <f t="shared" si="10"/>
        <v>3.539650614190184E-3</v>
      </c>
      <c r="J59" s="97">
        <f t="shared" si="11"/>
        <v>59380</v>
      </c>
      <c r="K59" s="45">
        <f t="shared" si="12"/>
        <v>47804</v>
      </c>
      <c r="L59" s="74"/>
      <c r="M59" s="46"/>
      <c r="N59" s="46">
        <v>3414</v>
      </c>
      <c r="O59" s="46">
        <v>44390</v>
      </c>
      <c r="P59" s="46"/>
      <c r="Q59" s="46"/>
      <c r="R59" s="46"/>
      <c r="S59" s="1084"/>
      <c r="T59" s="72">
        <f t="shared" si="13"/>
        <v>11576</v>
      </c>
      <c r="U59" s="74"/>
      <c r="V59" s="49">
        <v>11576</v>
      </c>
      <c r="W59" s="896"/>
    </row>
    <row r="60" spans="2:23" x14ac:dyDescent="0.25">
      <c r="B60" s="1072"/>
      <c r="C60" s="110"/>
      <c r="D60" s="114" t="s">
        <v>476</v>
      </c>
      <c r="E60" s="2280" t="s">
        <v>1411</v>
      </c>
      <c r="F60" s="2281"/>
      <c r="G60" s="2282"/>
      <c r="H60" s="114"/>
      <c r="I60" s="703">
        <f t="shared" si="10"/>
        <v>2.0772944527332354E-3</v>
      </c>
      <c r="J60" s="98">
        <f t="shared" si="11"/>
        <v>34848</v>
      </c>
      <c r="K60" s="62">
        <f t="shared" si="12"/>
        <v>33310</v>
      </c>
      <c r="L60" s="71">
        <v>33310</v>
      </c>
      <c r="M60" s="52"/>
      <c r="N60" s="52"/>
      <c r="O60" s="52"/>
      <c r="P60" s="52"/>
      <c r="Q60" s="52"/>
      <c r="R60" s="52"/>
      <c r="S60" s="1084"/>
      <c r="T60" s="73">
        <f t="shared" si="13"/>
        <v>1538</v>
      </c>
      <c r="U60" s="71"/>
      <c r="V60" s="80">
        <v>1538</v>
      </c>
      <c r="W60" s="896"/>
    </row>
    <row r="61" spans="2:23" ht="15.75" thickBot="1" x14ac:dyDescent="0.3">
      <c r="B61" s="1072"/>
      <c r="C61" s="110"/>
      <c r="D61" s="109"/>
      <c r="E61" s="109"/>
      <c r="F61" s="109"/>
      <c r="G61" s="113" t="s">
        <v>174</v>
      </c>
      <c r="H61" s="113"/>
      <c r="I61" s="704">
        <f t="shared" si="10"/>
        <v>9.0331669077599125E-2</v>
      </c>
      <c r="J61" s="99">
        <f t="shared" ref="J61:R61" si="14">SUM(J48:J60)</f>
        <v>1515374</v>
      </c>
      <c r="K61" s="60">
        <f t="shared" si="14"/>
        <v>1469098</v>
      </c>
      <c r="L61" s="1086">
        <f t="shared" si="14"/>
        <v>127363</v>
      </c>
      <c r="M61" s="1087">
        <f t="shared" si="14"/>
        <v>0</v>
      </c>
      <c r="N61" s="1087">
        <f t="shared" si="14"/>
        <v>3414</v>
      </c>
      <c r="O61" s="1087">
        <f t="shared" si="14"/>
        <v>670810</v>
      </c>
      <c r="P61" s="1087">
        <f t="shared" si="14"/>
        <v>358978</v>
      </c>
      <c r="Q61" s="1087">
        <f t="shared" si="14"/>
        <v>308533</v>
      </c>
      <c r="R61" s="1087">
        <f t="shared" si="14"/>
        <v>0</v>
      </c>
      <c r="S61" s="1088"/>
      <c r="T61" s="1089">
        <f>SUM(T48:T60)</f>
        <v>46276</v>
      </c>
      <c r="U61" s="1086">
        <f>SUM(U48:U60)</f>
        <v>0</v>
      </c>
      <c r="V61" s="1090">
        <f>SUM(V48:V60)</f>
        <v>46276</v>
      </c>
      <c r="W61" s="896"/>
    </row>
    <row r="62" spans="2:23" ht="3.75" customHeight="1" x14ac:dyDescent="0.25">
      <c r="B62" s="1072"/>
      <c r="C62" s="109"/>
      <c r="D62" s="109"/>
      <c r="E62" s="109"/>
      <c r="F62" s="109"/>
      <c r="G62" s="109"/>
      <c r="H62" s="109"/>
      <c r="I62" s="897"/>
      <c r="J62" s="1097"/>
      <c r="K62" s="1098"/>
      <c r="L62" s="1099"/>
      <c r="M62" s="761"/>
      <c r="N62" s="761"/>
      <c r="O62" s="761"/>
      <c r="P62" s="761"/>
      <c r="Q62" s="1098"/>
      <c r="R62" s="761"/>
      <c r="S62" s="1100"/>
      <c r="T62" s="761"/>
      <c r="U62" s="1099"/>
      <c r="V62" s="761"/>
      <c r="W62" s="896"/>
    </row>
    <row r="63" spans="2:23" ht="15.75" thickBot="1" x14ac:dyDescent="0.3">
      <c r="B63" s="1072"/>
      <c r="C63" s="143" t="s">
        <v>204</v>
      </c>
      <c r="D63" s="143"/>
      <c r="E63" s="143"/>
      <c r="F63" s="143"/>
      <c r="G63" s="143"/>
      <c r="H63" s="112"/>
      <c r="I63" s="112"/>
      <c r="J63" s="112"/>
      <c r="K63" s="112"/>
      <c r="L63" s="1074"/>
      <c r="M63" s="110"/>
      <c r="N63" s="110"/>
      <c r="O63" s="110"/>
      <c r="P63" s="39"/>
      <c r="Q63" s="1081"/>
      <c r="R63" s="1081"/>
      <c r="S63" s="1078"/>
      <c r="T63" s="133"/>
      <c r="U63" s="1081"/>
      <c r="V63" s="1081"/>
      <c r="W63" s="896"/>
    </row>
    <row r="64" spans="2:23" x14ac:dyDescent="0.25">
      <c r="B64" s="1072"/>
      <c r="C64" s="110"/>
      <c r="D64" s="263" t="s">
        <v>205</v>
      </c>
      <c r="E64" s="263"/>
      <c r="F64" s="263"/>
      <c r="G64" s="263"/>
      <c r="H64" s="263"/>
      <c r="I64" s="702">
        <f>IFERROR(J64/J$118," ")</f>
        <v>0</v>
      </c>
      <c r="J64" s="96">
        <f>K64+T64</f>
        <v>0</v>
      </c>
      <c r="K64" s="57">
        <f>SUM(L64:R64)</f>
        <v>0</v>
      </c>
      <c r="L64" s="67"/>
      <c r="M64" s="47"/>
      <c r="N64" s="47"/>
      <c r="O64" s="2086"/>
      <c r="P64" s="47"/>
      <c r="Q64" s="47"/>
      <c r="R64" s="47"/>
      <c r="S64" s="1082"/>
      <c r="T64" s="59">
        <f>SUM(U64:V64)</f>
        <v>0</v>
      </c>
      <c r="U64" s="67"/>
      <c r="V64" s="55"/>
      <c r="W64" s="896"/>
    </row>
    <row r="65" spans="2:23" x14ac:dyDescent="0.25">
      <c r="B65" s="1072"/>
      <c r="C65" s="110"/>
      <c r="D65" s="109" t="s">
        <v>206</v>
      </c>
      <c r="E65" s="109"/>
      <c r="F65" s="109"/>
      <c r="G65" s="109"/>
      <c r="H65" s="109"/>
      <c r="I65" s="703">
        <f>IFERROR(J65/J$118," ")</f>
        <v>2.443956475769339E-3</v>
      </c>
      <c r="J65" s="98">
        <f>K65+T65</f>
        <v>40999</v>
      </c>
      <c r="K65" s="62">
        <f>SUM(L65:R65)</f>
        <v>39189</v>
      </c>
      <c r="L65" s="75">
        <v>39189</v>
      </c>
      <c r="M65" s="51"/>
      <c r="N65" s="51"/>
      <c r="O65" s="51"/>
      <c r="P65" s="51"/>
      <c r="Q65" s="51"/>
      <c r="R65" s="51"/>
      <c r="S65" s="1084"/>
      <c r="T65" s="73">
        <f>SUM(U65:V65)</f>
        <v>1810</v>
      </c>
      <c r="U65" s="75"/>
      <c r="V65" s="79">
        <v>1810</v>
      </c>
      <c r="W65" s="896"/>
    </row>
    <row r="66" spans="2:23" ht="15.75" thickBot="1" x14ac:dyDescent="0.3">
      <c r="B66" s="1072"/>
      <c r="C66" s="110"/>
      <c r="D66" s="109"/>
      <c r="E66" s="109"/>
      <c r="F66" s="109"/>
      <c r="G66" s="113" t="s">
        <v>174</v>
      </c>
      <c r="H66" s="113"/>
      <c r="I66" s="704">
        <f>IFERROR(J66/J$118," ")</f>
        <v>2.443956475769339E-3</v>
      </c>
      <c r="J66" s="99">
        <f t="shared" ref="J66:R66" si="15">SUM(J64:J65)</f>
        <v>40999</v>
      </c>
      <c r="K66" s="60">
        <f t="shared" si="15"/>
        <v>39189</v>
      </c>
      <c r="L66" s="1086">
        <f t="shared" si="15"/>
        <v>39189</v>
      </c>
      <c r="M66" s="1087">
        <f t="shared" si="15"/>
        <v>0</v>
      </c>
      <c r="N66" s="1087">
        <f t="shared" si="15"/>
        <v>0</v>
      </c>
      <c r="O66" s="1087">
        <f t="shared" si="15"/>
        <v>0</v>
      </c>
      <c r="P66" s="1087">
        <f t="shared" si="15"/>
        <v>0</v>
      </c>
      <c r="Q66" s="1087">
        <f t="shared" si="15"/>
        <v>0</v>
      </c>
      <c r="R66" s="1087">
        <f t="shared" si="15"/>
        <v>0</v>
      </c>
      <c r="S66" s="1088"/>
      <c r="T66" s="1089">
        <f>SUM(T64:T65)</f>
        <v>1810</v>
      </c>
      <c r="U66" s="1086">
        <f>SUM(U64:U65)</f>
        <v>0</v>
      </c>
      <c r="V66" s="1090">
        <f>SUM(V64:V65)</f>
        <v>1810</v>
      </c>
      <c r="W66" s="896"/>
    </row>
    <row r="67" spans="2:23" ht="3.75" customHeight="1" x14ac:dyDescent="0.25">
      <c r="B67" s="1072"/>
      <c r="C67" s="109"/>
      <c r="D67" s="113"/>
      <c r="E67" s="113"/>
      <c r="F67" s="113"/>
      <c r="G67" s="113"/>
      <c r="H67" s="113"/>
      <c r="I67" s="1074"/>
      <c r="J67" s="1074"/>
      <c r="K67" s="110"/>
      <c r="L67" s="40"/>
      <c r="M67" s="40"/>
      <c r="N67" s="40"/>
      <c r="O67" s="40"/>
      <c r="P67" s="40"/>
      <c r="Q67" s="110"/>
      <c r="R67" s="40"/>
      <c r="S67" s="1084"/>
      <c r="T67" s="40"/>
      <c r="U67" s="40"/>
      <c r="V67" s="40"/>
      <c r="W67" s="896"/>
    </row>
    <row r="68" spans="2:23" ht="15.75" thickBot="1" x14ac:dyDescent="0.3">
      <c r="B68" s="1072"/>
      <c r="C68" s="143" t="s">
        <v>207</v>
      </c>
      <c r="D68" s="143"/>
      <c r="E68" s="143"/>
      <c r="F68" s="143"/>
      <c r="G68" s="143"/>
      <c r="H68" s="112"/>
      <c r="I68" s="112"/>
      <c r="J68" s="112"/>
      <c r="K68" s="112"/>
      <c r="L68" s="1074"/>
      <c r="M68" s="110"/>
      <c r="N68" s="110"/>
      <c r="O68" s="110"/>
      <c r="P68" s="39"/>
      <c r="Q68" s="1081"/>
      <c r="R68" s="1081"/>
      <c r="S68" s="1078"/>
      <c r="T68" s="133"/>
      <c r="U68" s="1081"/>
      <c r="V68" s="1081"/>
      <c r="W68" s="896"/>
    </row>
    <row r="69" spans="2:23" x14ac:dyDescent="0.25">
      <c r="B69" s="1072"/>
      <c r="C69" s="110"/>
      <c r="D69" s="263" t="s">
        <v>208</v>
      </c>
      <c r="E69" s="263"/>
      <c r="F69" s="263"/>
      <c r="G69" s="263"/>
      <c r="H69" s="263"/>
      <c r="I69" s="702">
        <f t="shared" ref="I69:I74" si="16">IFERROR(J69/J$118," ")</f>
        <v>2.2651856406067194E-3</v>
      </c>
      <c r="J69" s="96">
        <f>K69+T69</f>
        <v>38000</v>
      </c>
      <c r="K69" s="57">
        <f>SUM(L69:R69)</f>
        <v>35000</v>
      </c>
      <c r="L69" s="67">
        <v>35000</v>
      </c>
      <c r="M69" s="47"/>
      <c r="N69" s="47"/>
      <c r="O69" s="2086"/>
      <c r="P69" s="47"/>
      <c r="Q69" s="47"/>
      <c r="R69" s="47"/>
      <c r="S69" s="1082"/>
      <c r="T69" s="59">
        <f>SUM(U69:V69)</f>
        <v>3000</v>
      </c>
      <c r="U69" s="67"/>
      <c r="V69" s="55">
        <v>3000</v>
      </c>
      <c r="W69" s="896"/>
    </row>
    <row r="70" spans="2:23" x14ac:dyDescent="0.25">
      <c r="B70" s="1072"/>
      <c r="C70" s="110"/>
      <c r="D70" s="109" t="s">
        <v>209</v>
      </c>
      <c r="E70" s="109"/>
      <c r="F70" s="109"/>
      <c r="G70" s="109"/>
      <c r="H70" s="109"/>
      <c r="I70" s="703">
        <f t="shared" si="16"/>
        <v>0</v>
      </c>
      <c r="J70" s="97">
        <f>K70+T70</f>
        <v>0</v>
      </c>
      <c r="K70" s="45">
        <f>SUM(L70:R70)</f>
        <v>0</v>
      </c>
      <c r="L70" s="69"/>
      <c r="M70" s="48"/>
      <c r="N70" s="48"/>
      <c r="O70" s="48"/>
      <c r="P70" s="48"/>
      <c r="Q70" s="48"/>
      <c r="R70" s="48"/>
      <c r="S70" s="1084"/>
      <c r="T70" s="72">
        <f>SUM(U70:V70)</f>
        <v>0</v>
      </c>
      <c r="U70" s="69"/>
      <c r="V70" s="56"/>
      <c r="W70" s="896"/>
    </row>
    <row r="71" spans="2:23" x14ac:dyDescent="0.25">
      <c r="B71" s="1072"/>
      <c r="C71" s="110"/>
      <c r="D71" s="109" t="s">
        <v>210</v>
      </c>
      <c r="E71" s="109"/>
      <c r="F71" s="109"/>
      <c r="G71" s="109"/>
      <c r="H71" s="109"/>
      <c r="I71" s="703">
        <f t="shared" si="16"/>
        <v>1.1922029687403786E-3</v>
      </c>
      <c r="J71" s="97">
        <f>K71+T71</f>
        <v>20000</v>
      </c>
      <c r="K71" s="45">
        <f>SUM(L71:R71)</f>
        <v>19000</v>
      </c>
      <c r="L71" s="69">
        <v>19000</v>
      </c>
      <c r="M71" s="48"/>
      <c r="N71" s="48"/>
      <c r="O71" s="48"/>
      <c r="P71" s="48"/>
      <c r="Q71" s="48"/>
      <c r="R71" s="48"/>
      <c r="S71" s="1084"/>
      <c r="T71" s="72">
        <f>SUM(U71:V71)</f>
        <v>1000</v>
      </c>
      <c r="U71" s="69"/>
      <c r="V71" s="56">
        <v>1000</v>
      </c>
      <c r="W71" s="896"/>
    </row>
    <row r="72" spans="2:23" x14ac:dyDescent="0.25">
      <c r="B72" s="1072"/>
      <c r="C72" s="110"/>
      <c r="D72" s="109" t="s">
        <v>211</v>
      </c>
      <c r="E72" s="109"/>
      <c r="F72" s="109"/>
      <c r="G72" s="109"/>
      <c r="H72" s="109"/>
      <c r="I72" s="703">
        <f t="shared" si="16"/>
        <v>2.2651856406067192E-2</v>
      </c>
      <c r="J72" s="97">
        <f>K72+T72</f>
        <v>380000</v>
      </c>
      <c r="K72" s="45">
        <f>SUM(L72:R72)</f>
        <v>350000</v>
      </c>
      <c r="L72" s="69"/>
      <c r="M72" s="48"/>
      <c r="N72" s="48">
        <v>350000</v>
      </c>
      <c r="O72" s="48"/>
      <c r="P72" s="48"/>
      <c r="Q72" s="48"/>
      <c r="R72" s="48"/>
      <c r="S72" s="1084"/>
      <c r="T72" s="72">
        <f>SUM(U72:V72)</f>
        <v>30000</v>
      </c>
      <c r="U72" s="69"/>
      <c r="V72" s="56">
        <v>30000</v>
      </c>
      <c r="W72" s="896"/>
    </row>
    <row r="73" spans="2:23" x14ac:dyDescent="0.25">
      <c r="B73" s="1072"/>
      <c r="C73" s="110"/>
      <c r="D73" s="109" t="s">
        <v>212</v>
      </c>
      <c r="E73" s="109"/>
      <c r="F73" s="109"/>
      <c r="G73" s="109"/>
      <c r="H73" s="109"/>
      <c r="I73" s="703">
        <f t="shared" si="16"/>
        <v>3.054900887100346E-3</v>
      </c>
      <c r="J73" s="98">
        <f>K73+T73</f>
        <v>51248</v>
      </c>
      <c r="K73" s="45">
        <f>SUM(L73:R73)</f>
        <v>48986</v>
      </c>
      <c r="L73" s="75"/>
      <c r="M73" s="51"/>
      <c r="N73" s="51">
        <v>48986</v>
      </c>
      <c r="O73" s="51"/>
      <c r="P73" s="51"/>
      <c r="Q73" s="51"/>
      <c r="R73" s="51"/>
      <c r="S73" s="1084"/>
      <c r="T73" s="73">
        <f>SUM(U73:V73)</f>
        <v>2262</v>
      </c>
      <c r="U73" s="75"/>
      <c r="V73" s="79">
        <v>2262</v>
      </c>
      <c r="W73" s="896"/>
    </row>
    <row r="74" spans="2:23" ht="15.75" thickBot="1" x14ac:dyDescent="0.3">
      <c r="B74" s="1072"/>
      <c r="C74" s="110"/>
      <c r="D74" s="109"/>
      <c r="E74" s="109"/>
      <c r="F74" s="109"/>
      <c r="G74" s="113" t="s">
        <v>174</v>
      </c>
      <c r="H74" s="113"/>
      <c r="I74" s="704">
        <f t="shared" si="16"/>
        <v>2.9164145902514635E-2</v>
      </c>
      <c r="J74" s="99">
        <f t="shared" ref="J74:R74" si="17">SUM(J69:J73)</f>
        <v>489248</v>
      </c>
      <c r="K74" s="60">
        <f t="shared" si="17"/>
        <v>452986</v>
      </c>
      <c r="L74" s="1086">
        <f t="shared" si="17"/>
        <v>54000</v>
      </c>
      <c r="M74" s="1087">
        <f t="shared" si="17"/>
        <v>0</v>
      </c>
      <c r="N74" s="1087">
        <f t="shared" si="17"/>
        <v>398986</v>
      </c>
      <c r="O74" s="1087">
        <f t="shared" si="17"/>
        <v>0</v>
      </c>
      <c r="P74" s="1087">
        <f t="shared" si="17"/>
        <v>0</v>
      </c>
      <c r="Q74" s="1087">
        <f t="shared" si="17"/>
        <v>0</v>
      </c>
      <c r="R74" s="1087">
        <f t="shared" si="17"/>
        <v>0</v>
      </c>
      <c r="S74" s="1088"/>
      <c r="T74" s="1089">
        <f>SUM(T69:T73)</f>
        <v>36262</v>
      </c>
      <c r="U74" s="1086">
        <f>SUM(U69:U73)</f>
        <v>0</v>
      </c>
      <c r="V74" s="1090">
        <f>SUM(V69:V73)</f>
        <v>36262</v>
      </c>
      <c r="W74" s="896"/>
    </row>
    <row r="75" spans="2:23" ht="9" customHeight="1" thickBot="1" x14ac:dyDescent="0.3">
      <c r="B75" s="1092"/>
      <c r="C75" s="85"/>
      <c r="D75" s="88"/>
      <c r="E75" s="88"/>
      <c r="F75" s="88"/>
      <c r="G75" s="88"/>
      <c r="H75" s="88"/>
      <c r="I75" s="916"/>
      <c r="J75" s="1093"/>
      <c r="K75" s="1094"/>
      <c r="L75" s="86"/>
      <c r="M75" s="86"/>
      <c r="N75" s="86"/>
      <c r="O75" s="86"/>
      <c r="P75" s="86"/>
      <c r="Q75" s="1094"/>
      <c r="R75" s="86"/>
      <c r="S75" s="1096"/>
      <c r="T75" s="86"/>
      <c r="U75" s="86"/>
      <c r="V75" s="86"/>
      <c r="W75" s="917"/>
    </row>
    <row r="76" spans="2:23" ht="15.75" thickBot="1" x14ac:dyDescent="0.3">
      <c r="B76" s="1072"/>
      <c r="C76" s="143" t="s">
        <v>213</v>
      </c>
      <c r="D76" s="143"/>
      <c r="E76" s="143"/>
      <c r="F76" s="143"/>
      <c r="G76" s="143"/>
      <c r="H76" s="112"/>
      <c r="I76" s="112"/>
      <c r="J76" s="112"/>
      <c r="K76" s="112"/>
      <c r="L76" s="40"/>
      <c r="M76" s="40"/>
      <c r="N76" s="40"/>
      <c r="O76" s="40"/>
      <c r="P76" s="40"/>
      <c r="Q76" s="110"/>
      <c r="R76" s="40"/>
      <c r="S76" s="1084"/>
      <c r="T76" s="40"/>
      <c r="U76" s="40"/>
      <c r="V76" s="40"/>
      <c r="W76" s="896"/>
    </row>
    <row r="77" spans="2:23" x14ac:dyDescent="0.25">
      <c r="B77" s="1072"/>
      <c r="C77" s="110"/>
      <c r="D77" s="263" t="s">
        <v>214</v>
      </c>
      <c r="E77" s="263"/>
      <c r="F77" s="263"/>
      <c r="G77" s="263"/>
      <c r="H77" s="263"/>
      <c r="I77" s="702">
        <f t="shared" ref="I77:I85" si="18">IFERROR(J77/J$118," ")</f>
        <v>8.9415222655528392E-4</v>
      </c>
      <c r="J77" s="96">
        <f t="shared" ref="J77:J84" si="19">K77+T77</f>
        <v>15000</v>
      </c>
      <c r="K77" s="57">
        <f t="shared" ref="K77:K84" si="20">SUM(L77:R77)</f>
        <v>15000</v>
      </c>
      <c r="L77" s="67">
        <v>15000</v>
      </c>
      <c r="M77" s="47"/>
      <c r="N77" s="47"/>
      <c r="O77" s="2086"/>
      <c r="P77" s="47"/>
      <c r="Q77" s="47"/>
      <c r="R77" s="47"/>
      <c r="S77" s="1082"/>
      <c r="T77" s="59">
        <f t="shared" ref="T77:T84" si="21">SUM(U77:V77)</f>
        <v>0</v>
      </c>
      <c r="U77" s="67"/>
      <c r="V77" s="55"/>
      <c r="W77" s="896"/>
    </row>
    <row r="78" spans="2:23" x14ac:dyDescent="0.25">
      <c r="B78" s="1072"/>
      <c r="C78" s="110"/>
      <c r="D78" s="109" t="s">
        <v>215</v>
      </c>
      <c r="E78" s="109"/>
      <c r="F78" s="109"/>
      <c r="G78" s="109"/>
      <c r="H78" s="109"/>
      <c r="I78" s="703">
        <f t="shared" si="18"/>
        <v>5.9610148437018929E-5</v>
      </c>
      <c r="J78" s="97">
        <f t="shared" si="19"/>
        <v>1000</v>
      </c>
      <c r="K78" s="45">
        <f t="shared" si="20"/>
        <v>0</v>
      </c>
      <c r="L78" s="69"/>
      <c r="M78" s="48"/>
      <c r="N78" s="48"/>
      <c r="O78" s="48"/>
      <c r="P78" s="48"/>
      <c r="Q78" s="48"/>
      <c r="R78" s="48"/>
      <c r="S78" s="1084"/>
      <c r="T78" s="72">
        <f t="shared" si="21"/>
        <v>1000</v>
      </c>
      <c r="U78" s="69"/>
      <c r="V78" s="56">
        <v>1000</v>
      </c>
      <c r="W78" s="896"/>
    </row>
    <row r="79" spans="2:23" x14ac:dyDescent="0.25">
      <c r="B79" s="1072"/>
      <c r="C79" s="110"/>
      <c r="D79" s="109" t="s">
        <v>216</v>
      </c>
      <c r="E79" s="109"/>
      <c r="F79" s="109"/>
      <c r="G79" s="109"/>
      <c r="H79" s="109"/>
      <c r="I79" s="703">
        <f t="shared" si="18"/>
        <v>1.1325928203033597E-3</v>
      </c>
      <c r="J79" s="97">
        <f t="shared" si="19"/>
        <v>19000</v>
      </c>
      <c r="K79" s="45">
        <f t="shared" si="20"/>
        <v>19000</v>
      </c>
      <c r="L79" s="69">
        <v>19000</v>
      </c>
      <c r="M79" s="48"/>
      <c r="N79" s="48"/>
      <c r="O79" s="48"/>
      <c r="P79" s="48"/>
      <c r="Q79" s="48"/>
      <c r="R79" s="48"/>
      <c r="S79" s="1084"/>
      <c r="T79" s="72">
        <f t="shared" si="21"/>
        <v>0</v>
      </c>
      <c r="U79" s="69"/>
      <c r="V79" s="56"/>
      <c r="W79" s="896"/>
    </row>
    <row r="80" spans="2:23" x14ac:dyDescent="0.25">
      <c r="B80" s="1072"/>
      <c r="C80" s="110"/>
      <c r="D80" s="114" t="s">
        <v>217</v>
      </c>
      <c r="E80" s="114"/>
      <c r="F80" s="114"/>
      <c r="G80" s="114"/>
      <c r="H80" s="114"/>
      <c r="I80" s="703">
        <f t="shared" si="18"/>
        <v>6.9193075899754092E-3</v>
      </c>
      <c r="J80" s="97">
        <f t="shared" si="19"/>
        <v>116076</v>
      </c>
      <c r="K80" s="45">
        <f t="shared" si="20"/>
        <v>116076</v>
      </c>
      <c r="L80" s="69">
        <v>116076</v>
      </c>
      <c r="M80" s="48"/>
      <c r="N80" s="48"/>
      <c r="O80" s="48"/>
      <c r="P80" s="48"/>
      <c r="Q80" s="48"/>
      <c r="R80" s="48"/>
      <c r="S80" s="1084"/>
      <c r="T80" s="72">
        <f t="shared" si="21"/>
        <v>0</v>
      </c>
      <c r="U80" s="69"/>
      <c r="V80" s="56"/>
      <c r="W80" s="896"/>
    </row>
    <row r="81" spans="2:23" x14ac:dyDescent="0.25">
      <c r="B81" s="1072"/>
      <c r="C81" s="110"/>
      <c r="D81" s="114" t="s">
        <v>218</v>
      </c>
      <c r="E81" s="114"/>
      <c r="F81" s="114"/>
      <c r="G81" s="114"/>
      <c r="H81" s="114"/>
      <c r="I81" s="703">
        <f t="shared" si="18"/>
        <v>1.4274842246212922E-3</v>
      </c>
      <c r="J81" s="97">
        <f t="shared" si="19"/>
        <v>23947</v>
      </c>
      <c r="K81" s="45">
        <f t="shared" si="20"/>
        <v>23947</v>
      </c>
      <c r="L81" s="69">
        <v>23947</v>
      </c>
      <c r="M81" s="48"/>
      <c r="N81" s="48"/>
      <c r="O81" s="48"/>
      <c r="P81" s="48"/>
      <c r="Q81" s="48"/>
      <c r="R81" s="48"/>
      <c r="S81" s="1084"/>
      <c r="T81" s="72">
        <f t="shared" si="21"/>
        <v>0</v>
      </c>
      <c r="U81" s="69"/>
      <c r="V81" s="56"/>
      <c r="W81" s="896"/>
    </row>
    <row r="82" spans="2:23" x14ac:dyDescent="0.25">
      <c r="B82" s="1072"/>
      <c r="C82" s="110"/>
      <c r="D82" s="114" t="s">
        <v>219</v>
      </c>
      <c r="E82" s="114"/>
      <c r="F82" s="114"/>
      <c r="G82" s="114"/>
      <c r="H82" s="114"/>
      <c r="I82" s="703">
        <f t="shared" si="18"/>
        <v>0</v>
      </c>
      <c r="J82" s="97">
        <f t="shared" si="19"/>
        <v>0</v>
      </c>
      <c r="K82" s="45">
        <f t="shared" si="20"/>
        <v>0</v>
      </c>
      <c r="L82" s="69"/>
      <c r="M82" s="48"/>
      <c r="N82" s="48"/>
      <c r="O82" s="48"/>
      <c r="P82" s="48"/>
      <c r="Q82" s="48"/>
      <c r="R82" s="48"/>
      <c r="S82" s="1084"/>
      <c r="T82" s="72">
        <f t="shared" si="21"/>
        <v>0</v>
      </c>
      <c r="U82" s="69"/>
      <c r="V82" s="56"/>
      <c r="W82" s="896"/>
    </row>
    <row r="83" spans="2:23" x14ac:dyDescent="0.25">
      <c r="B83" s="1072"/>
      <c r="C83" s="110"/>
      <c r="D83" s="115" t="s">
        <v>220</v>
      </c>
      <c r="E83" s="115"/>
      <c r="F83" s="115"/>
      <c r="G83" s="115"/>
      <c r="H83" s="115"/>
      <c r="I83" s="703">
        <f t="shared" si="18"/>
        <v>0</v>
      </c>
      <c r="J83" s="97">
        <f t="shared" si="19"/>
        <v>0</v>
      </c>
      <c r="K83" s="45">
        <f t="shared" si="20"/>
        <v>0</v>
      </c>
      <c r="L83" s="69"/>
      <c r="M83" s="48"/>
      <c r="N83" s="48"/>
      <c r="O83" s="48"/>
      <c r="P83" s="48"/>
      <c r="Q83" s="48"/>
      <c r="R83" s="48"/>
      <c r="S83" s="1084"/>
      <c r="T83" s="72">
        <f t="shared" si="21"/>
        <v>0</v>
      </c>
      <c r="U83" s="69"/>
      <c r="V83" s="56"/>
      <c r="W83" s="896"/>
    </row>
    <row r="84" spans="2:23" x14ac:dyDescent="0.25">
      <c r="B84" s="1072"/>
      <c r="C84" s="110"/>
      <c r="D84" s="114" t="s">
        <v>476</v>
      </c>
      <c r="E84" s="2280" t="s">
        <v>1554</v>
      </c>
      <c r="F84" s="2281"/>
      <c r="G84" s="2282"/>
      <c r="H84" s="114"/>
      <c r="I84" s="703">
        <f t="shared" si="18"/>
        <v>1.5060504002612832E-3</v>
      </c>
      <c r="J84" s="98">
        <f t="shared" si="19"/>
        <v>25265</v>
      </c>
      <c r="K84" s="45">
        <f t="shared" si="20"/>
        <v>22075</v>
      </c>
      <c r="L84" s="75">
        <v>22075</v>
      </c>
      <c r="M84" s="51"/>
      <c r="N84" s="51"/>
      <c r="O84" s="51"/>
      <c r="P84" s="51"/>
      <c r="Q84" s="51"/>
      <c r="R84" s="51"/>
      <c r="S84" s="1084"/>
      <c r="T84" s="73">
        <f t="shared" si="21"/>
        <v>3190</v>
      </c>
      <c r="U84" s="75"/>
      <c r="V84" s="79">
        <v>3190</v>
      </c>
      <c r="W84" s="896"/>
    </row>
    <row r="85" spans="2:23" ht="15.75" thickBot="1" x14ac:dyDescent="0.3">
      <c r="B85" s="1072"/>
      <c r="C85" s="110"/>
      <c r="D85" s="109"/>
      <c r="E85" s="109"/>
      <c r="F85" s="109"/>
      <c r="G85" s="113" t="s">
        <v>174</v>
      </c>
      <c r="H85" s="113"/>
      <c r="I85" s="704">
        <f t="shared" si="18"/>
        <v>1.1939197410153648E-2</v>
      </c>
      <c r="J85" s="99">
        <f t="shared" ref="J85:R85" si="22">SUM(J77:J84)</f>
        <v>200288</v>
      </c>
      <c r="K85" s="60">
        <f t="shared" si="22"/>
        <v>196098</v>
      </c>
      <c r="L85" s="1086">
        <f t="shared" si="22"/>
        <v>196098</v>
      </c>
      <c r="M85" s="1087">
        <f t="shared" si="22"/>
        <v>0</v>
      </c>
      <c r="N85" s="1087">
        <f t="shared" si="22"/>
        <v>0</v>
      </c>
      <c r="O85" s="1087">
        <f t="shared" si="22"/>
        <v>0</v>
      </c>
      <c r="P85" s="1087">
        <f t="shared" si="22"/>
        <v>0</v>
      </c>
      <c r="Q85" s="1087">
        <f t="shared" si="22"/>
        <v>0</v>
      </c>
      <c r="R85" s="1087">
        <f t="shared" si="22"/>
        <v>0</v>
      </c>
      <c r="S85" s="1088"/>
      <c r="T85" s="1089">
        <f>SUM(T77:T84)</f>
        <v>4190</v>
      </c>
      <c r="U85" s="1086">
        <f>SUM(U77:U84)</f>
        <v>0</v>
      </c>
      <c r="V85" s="1090">
        <f>SUM(V77:V84)</f>
        <v>4190</v>
      </c>
      <c r="W85" s="896"/>
    </row>
    <row r="86" spans="2:23" ht="3.75" customHeight="1" x14ac:dyDescent="0.25">
      <c r="B86" s="1072"/>
      <c r="C86" s="109"/>
      <c r="D86" s="109"/>
      <c r="E86" s="109"/>
      <c r="F86" s="109"/>
      <c r="G86" s="109"/>
      <c r="H86" s="109"/>
      <c r="I86" s="1074"/>
      <c r="J86" s="1091"/>
      <c r="K86" s="110"/>
      <c r="L86" s="40"/>
      <c r="M86" s="40"/>
      <c r="N86" s="40"/>
      <c r="O86" s="40"/>
      <c r="P86" s="40"/>
      <c r="Q86" s="110"/>
      <c r="R86" s="40"/>
      <c r="S86" s="1084"/>
      <c r="T86" s="40"/>
      <c r="U86" s="40"/>
      <c r="V86" s="40"/>
      <c r="W86" s="896"/>
    </row>
    <row r="87" spans="2:23" ht="15.75" thickBot="1" x14ac:dyDescent="0.3">
      <c r="B87" s="1072"/>
      <c r="C87" s="143" t="s">
        <v>221</v>
      </c>
      <c r="D87" s="143"/>
      <c r="E87" s="143"/>
      <c r="F87" s="143"/>
      <c r="G87" s="143"/>
      <c r="H87" s="112"/>
      <c r="I87" s="112"/>
      <c r="J87" s="112"/>
      <c r="K87" s="112"/>
      <c r="L87" s="1101"/>
      <c r="M87" s="43"/>
      <c r="N87" s="43"/>
      <c r="O87" s="43"/>
      <c r="P87" s="43"/>
      <c r="Q87" s="110"/>
      <c r="R87" s="43"/>
      <c r="S87" s="1084"/>
      <c r="T87" s="43"/>
      <c r="U87" s="43"/>
      <c r="V87" s="43"/>
      <c r="W87" s="896"/>
    </row>
    <row r="88" spans="2:23" x14ac:dyDescent="0.25">
      <c r="B88" s="1072"/>
      <c r="C88" s="110"/>
      <c r="D88" s="264" t="s">
        <v>222</v>
      </c>
      <c r="E88" s="264"/>
      <c r="F88" s="264"/>
      <c r="G88" s="264"/>
      <c r="H88" s="264"/>
      <c r="I88" s="702">
        <f>IFERROR(J88/J$118," ")</f>
        <v>1.8181095273290773E-2</v>
      </c>
      <c r="J88" s="96">
        <f>K88+T88</f>
        <v>305000</v>
      </c>
      <c r="K88" s="57">
        <f>SUM(L88:R88)</f>
        <v>280000</v>
      </c>
      <c r="L88" s="67"/>
      <c r="M88" s="47"/>
      <c r="N88" s="47">
        <v>280000</v>
      </c>
      <c r="O88" s="2086"/>
      <c r="P88" s="47"/>
      <c r="Q88" s="47"/>
      <c r="R88" s="47"/>
      <c r="S88" s="1082"/>
      <c r="T88" s="59">
        <f>SUM(U88:V88)</f>
        <v>25000</v>
      </c>
      <c r="U88" s="67"/>
      <c r="V88" s="55">
        <v>25000</v>
      </c>
      <c r="W88" s="896"/>
    </row>
    <row r="89" spans="2:23" x14ac:dyDescent="0.25">
      <c r="B89" s="1072"/>
      <c r="C89" s="110"/>
      <c r="D89" s="115" t="s">
        <v>223</v>
      </c>
      <c r="E89" s="115"/>
      <c r="F89" s="115"/>
      <c r="G89" s="115"/>
      <c r="H89" s="115"/>
      <c r="I89" s="703">
        <f>IFERROR(J89/J$118," ")</f>
        <v>1.1057682535067011E-3</v>
      </c>
      <c r="J89" s="97">
        <f>K89+T89</f>
        <v>18550</v>
      </c>
      <c r="K89" s="45">
        <f>SUM(L89:R89)</f>
        <v>18550</v>
      </c>
      <c r="L89" s="69"/>
      <c r="M89" s="48"/>
      <c r="N89" s="48">
        <v>18550</v>
      </c>
      <c r="O89" s="48"/>
      <c r="P89" s="48"/>
      <c r="Q89" s="48"/>
      <c r="R89" s="48"/>
      <c r="S89" s="1084"/>
      <c r="T89" s="72">
        <f>SUM(U89:V89)</f>
        <v>0</v>
      </c>
      <c r="U89" s="69"/>
      <c r="V89" s="56"/>
      <c r="W89" s="896"/>
    </row>
    <row r="90" spans="2:23" x14ac:dyDescent="0.25">
      <c r="B90" s="1072"/>
      <c r="C90" s="110"/>
      <c r="D90" s="114" t="s">
        <v>476</v>
      </c>
      <c r="E90" s="2280"/>
      <c r="F90" s="2281"/>
      <c r="G90" s="2282"/>
      <c r="H90" s="114"/>
      <c r="I90" s="703">
        <f>IFERROR(J90/J$118," ")</f>
        <v>0</v>
      </c>
      <c r="J90" s="98">
        <f>K90+T90</f>
        <v>0</v>
      </c>
      <c r="K90" s="45">
        <f>SUM(L90:R90)</f>
        <v>0</v>
      </c>
      <c r="L90" s="75"/>
      <c r="M90" s="51"/>
      <c r="N90" s="51"/>
      <c r="O90" s="51"/>
      <c r="P90" s="51"/>
      <c r="Q90" s="51"/>
      <c r="R90" s="51"/>
      <c r="S90" s="1084"/>
      <c r="T90" s="73">
        <f>SUM(U90:V90)</f>
        <v>0</v>
      </c>
      <c r="U90" s="75"/>
      <c r="V90" s="79"/>
      <c r="W90" s="896"/>
    </row>
    <row r="91" spans="2:23" ht="15.75" thickBot="1" x14ac:dyDescent="0.3">
      <c r="B91" s="1072"/>
      <c r="C91" s="110"/>
      <c r="D91" s="109"/>
      <c r="E91" s="109"/>
      <c r="F91" s="109"/>
      <c r="G91" s="113" t="s">
        <v>174</v>
      </c>
      <c r="H91" s="113"/>
      <c r="I91" s="704">
        <f>IFERROR(J91/J$118," ")</f>
        <v>1.9286863526797475E-2</v>
      </c>
      <c r="J91" s="99">
        <f t="shared" ref="J91:R91" si="23">SUM(J88:J90)</f>
        <v>323550</v>
      </c>
      <c r="K91" s="60">
        <f t="shared" si="23"/>
        <v>298550</v>
      </c>
      <c r="L91" s="1086">
        <f t="shared" si="23"/>
        <v>0</v>
      </c>
      <c r="M91" s="1087">
        <f t="shared" si="23"/>
        <v>0</v>
      </c>
      <c r="N91" s="1087">
        <f t="shared" si="23"/>
        <v>298550</v>
      </c>
      <c r="O91" s="1087">
        <f t="shared" si="23"/>
        <v>0</v>
      </c>
      <c r="P91" s="1087">
        <f t="shared" si="23"/>
        <v>0</v>
      </c>
      <c r="Q91" s="1087">
        <f t="shared" si="23"/>
        <v>0</v>
      </c>
      <c r="R91" s="1087">
        <f t="shared" si="23"/>
        <v>0</v>
      </c>
      <c r="S91" s="1088"/>
      <c r="T91" s="1089">
        <f>SUM(T88:T90)</f>
        <v>25000</v>
      </c>
      <c r="U91" s="1086">
        <f>SUM(U88:U90)</f>
        <v>0</v>
      </c>
      <c r="V91" s="1090">
        <f>SUM(V88:V90)</f>
        <v>25000</v>
      </c>
      <c r="W91" s="896"/>
    </row>
    <row r="92" spans="2:23" ht="3.75" customHeight="1" x14ac:dyDescent="0.25">
      <c r="B92" s="1072"/>
      <c r="C92" s="109"/>
      <c r="D92" s="109"/>
      <c r="E92" s="109"/>
      <c r="F92" s="109"/>
      <c r="G92" s="109"/>
      <c r="H92" s="109"/>
      <c r="I92" s="1074"/>
      <c r="J92" s="1091"/>
      <c r="K92" s="110"/>
      <c r="L92" s="141"/>
      <c r="M92" s="141"/>
      <c r="N92" s="141"/>
      <c r="O92" s="141"/>
      <c r="P92" s="141"/>
      <c r="Q92" s="110"/>
      <c r="R92" s="141"/>
      <c r="S92" s="1084"/>
      <c r="T92" s="141"/>
      <c r="U92" s="141"/>
      <c r="V92" s="141"/>
      <c r="W92" s="896"/>
    </row>
    <row r="93" spans="2:23" ht="15.75" thickBot="1" x14ac:dyDescent="0.3">
      <c r="B93" s="1072"/>
      <c r="C93" s="143" t="s">
        <v>224</v>
      </c>
      <c r="D93" s="143"/>
      <c r="E93" s="143"/>
      <c r="F93" s="143"/>
      <c r="G93" s="143"/>
      <c r="H93" s="112"/>
      <c r="I93" s="112"/>
      <c r="J93" s="112"/>
      <c r="K93" s="112"/>
      <c r="L93" s="43"/>
      <c r="M93" s="43"/>
      <c r="N93" s="43"/>
      <c r="O93" s="43"/>
      <c r="P93" s="43"/>
      <c r="Q93" s="110"/>
      <c r="R93" s="43"/>
      <c r="S93" s="1084"/>
      <c r="T93" s="43"/>
      <c r="U93" s="43"/>
      <c r="V93" s="43"/>
      <c r="W93" s="896"/>
    </row>
    <row r="94" spans="2:23" x14ac:dyDescent="0.25">
      <c r="B94" s="1072"/>
      <c r="C94" s="110"/>
      <c r="D94" s="264" t="s">
        <v>225</v>
      </c>
      <c r="E94" s="264"/>
      <c r="F94" s="264"/>
      <c r="G94" s="264"/>
      <c r="H94" s="264"/>
      <c r="I94" s="702">
        <f t="shared" ref="I94:I105" si="24">IFERROR(J94/J$118," ")</f>
        <v>0</v>
      </c>
      <c r="J94" s="96">
        <f t="shared" ref="J94:J104" si="25">K94+T94</f>
        <v>0</v>
      </c>
      <c r="K94" s="57">
        <f t="shared" ref="K94:K104" si="26">SUM(L94:R94)</f>
        <v>0</v>
      </c>
      <c r="L94" s="67"/>
      <c r="M94" s="47"/>
      <c r="N94" s="47"/>
      <c r="O94" s="2086"/>
      <c r="P94" s="47"/>
      <c r="Q94" s="47"/>
      <c r="R94" s="47"/>
      <c r="S94" s="1082"/>
      <c r="T94" s="59">
        <f t="shared" ref="T94:T104" si="27">SUM(U94:V94)</f>
        <v>0</v>
      </c>
      <c r="U94" s="67"/>
      <c r="V94" s="55"/>
      <c r="W94" s="896"/>
    </row>
    <row r="95" spans="2:23" x14ac:dyDescent="0.25">
      <c r="B95" s="1072"/>
      <c r="C95" s="110"/>
      <c r="D95" s="115" t="s">
        <v>226</v>
      </c>
      <c r="E95" s="115"/>
      <c r="F95" s="115"/>
      <c r="G95" s="115"/>
      <c r="H95" s="115"/>
      <c r="I95" s="703">
        <f t="shared" si="24"/>
        <v>1.8940528564378395E-3</v>
      </c>
      <c r="J95" s="97">
        <f t="shared" si="25"/>
        <v>31774</v>
      </c>
      <c r="K95" s="45">
        <f t="shared" si="26"/>
        <v>30371</v>
      </c>
      <c r="L95" s="69"/>
      <c r="M95" s="48"/>
      <c r="N95" s="48"/>
      <c r="O95" s="48">
        <v>30371</v>
      </c>
      <c r="P95" s="48"/>
      <c r="Q95" s="48"/>
      <c r="R95" s="48"/>
      <c r="S95" s="1084"/>
      <c r="T95" s="72">
        <f t="shared" si="27"/>
        <v>1403</v>
      </c>
      <c r="U95" s="69"/>
      <c r="V95" s="56">
        <v>1403</v>
      </c>
      <c r="W95" s="896"/>
    </row>
    <row r="96" spans="2:23" x14ac:dyDescent="0.25">
      <c r="B96" s="1072"/>
      <c r="C96" s="110"/>
      <c r="D96" s="115" t="s">
        <v>118</v>
      </c>
      <c r="E96" s="115"/>
      <c r="F96" s="115"/>
      <c r="G96" s="115"/>
      <c r="H96" s="115"/>
      <c r="I96" s="703">
        <f t="shared" si="24"/>
        <v>4.887912951538678E-3</v>
      </c>
      <c r="J96" s="97">
        <f t="shared" si="25"/>
        <v>81998</v>
      </c>
      <c r="K96" s="45">
        <f t="shared" si="26"/>
        <v>78378</v>
      </c>
      <c r="L96" s="69">
        <v>75624</v>
      </c>
      <c r="M96" s="48"/>
      <c r="N96" s="48"/>
      <c r="O96" s="48">
        <v>2754</v>
      </c>
      <c r="P96" s="48"/>
      <c r="Q96" s="48"/>
      <c r="R96" s="48"/>
      <c r="S96" s="1084"/>
      <c r="T96" s="72">
        <f t="shared" si="27"/>
        <v>3620</v>
      </c>
      <c r="U96" s="69"/>
      <c r="V96" s="56">
        <v>3620</v>
      </c>
      <c r="W96" s="896"/>
    </row>
    <row r="97" spans="2:23" x14ac:dyDescent="0.25">
      <c r="B97" s="1072"/>
      <c r="C97" s="110"/>
      <c r="D97" s="115" t="s">
        <v>227</v>
      </c>
      <c r="E97" s="115"/>
      <c r="F97" s="115"/>
      <c r="G97" s="115"/>
      <c r="H97" s="115"/>
      <c r="I97" s="703">
        <f t="shared" si="24"/>
        <v>0</v>
      </c>
      <c r="J97" s="97">
        <f t="shared" si="25"/>
        <v>0</v>
      </c>
      <c r="K97" s="45">
        <f t="shared" si="26"/>
        <v>0</v>
      </c>
      <c r="L97" s="69"/>
      <c r="M97" s="48"/>
      <c r="N97" s="48"/>
      <c r="O97" s="48"/>
      <c r="P97" s="48"/>
      <c r="Q97" s="48"/>
      <c r="R97" s="48"/>
      <c r="S97" s="1084"/>
      <c r="T97" s="72">
        <f t="shared" si="27"/>
        <v>0</v>
      </c>
      <c r="U97" s="69"/>
      <c r="V97" s="56"/>
      <c r="W97" s="896"/>
    </row>
    <row r="98" spans="2:23" x14ac:dyDescent="0.25">
      <c r="B98" s="1072"/>
      <c r="C98" s="110"/>
      <c r="D98" s="115" t="s">
        <v>228</v>
      </c>
      <c r="E98" s="115"/>
      <c r="F98" s="115"/>
      <c r="G98" s="706" t="str">
        <f>IF(AND(J98&lt;&gt;0,'6E- 9%'!I55=0),"Complete Form 6E (Option 2)","")</f>
        <v/>
      </c>
      <c r="H98" s="115"/>
      <c r="I98" s="703">
        <f t="shared" si="24"/>
        <v>3.3081784467943957E-2</v>
      </c>
      <c r="J98" s="97">
        <f t="shared" si="25"/>
        <v>554969</v>
      </c>
      <c r="K98" s="45">
        <f t="shared" si="26"/>
        <v>544387</v>
      </c>
      <c r="L98" s="69"/>
      <c r="M98" s="48"/>
      <c r="N98" s="48"/>
      <c r="O98" s="48">
        <v>544387</v>
      </c>
      <c r="P98" s="48"/>
      <c r="Q98" s="48"/>
      <c r="R98" s="48"/>
      <c r="S98" s="1084"/>
      <c r="T98" s="72">
        <f t="shared" si="27"/>
        <v>10582</v>
      </c>
      <c r="U98" s="69"/>
      <c r="V98" s="56">
        <v>10582</v>
      </c>
      <c r="W98" s="896"/>
    </row>
    <row r="99" spans="2:23" x14ac:dyDescent="0.25">
      <c r="B99" s="1072"/>
      <c r="C99" s="110"/>
      <c r="D99" s="114" t="s">
        <v>229</v>
      </c>
      <c r="E99" s="114"/>
      <c r="F99" s="114"/>
      <c r="G99" s="114"/>
      <c r="H99" s="114"/>
      <c r="I99" s="703">
        <f t="shared" si="24"/>
        <v>0</v>
      </c>
      <c r="J99" s="97">
        <f t="shared" si="25"/>
        <v>0</v>
      </c>
      <c r="K99" s="45">
        <f t="shared" si="26"/>
        <v>0</v>
      </c>
      <c r="L99" s="69"/>
      <c r="M99" s="48"/>
      <c r="N99" s="48"/>
      <c r="O99" s="48"/>
      <c r="P99" s="48"/>
      <c r="Q99" s="48"/>
      <c r="R99" s="48"/>
      <c r="S99" s="1084"/>
      <c r="T99" s="72">
        <f t="shared" si="27"/>
        <v>0</v>
      </c>
      <c r="U99" s="69"/>
      <c r="V99" s="56"/>
      <c r="W99" s="896"/>
    </row>
    <row r="100" spans="2:23" x14ac:dyDescent="0.25">
      <c r="B100" s="1072"/>
      <c r="C100" s="110"/>
      <c r="D100" s="114" t="s">
        <v>230</v>
      </c>
      <c r="E100" s="114"/>
      <c r="F100" s="114"/>
      <c r="G100" s="114"/>
      <c r="H100" s="114"/>
      <c r="I100" s="703">
        <f t="shared" si="24"/>
        <v>0</v>
      </c>
      <c r="J100" s="97">
        <f t="shared" si="25"/>
        <v>0</v>
      </c>
      <c r="K100" s="45">
        <f t="shared" si="26"/>
        <v>0</v>
      </c>
      <c r="L100" s="69"/>
      <c r="M100" s="48"/>
      <c r="N100" s="48"/>
      <c r="O100" s="48"/>
      <c r="P100" s="48"/>
      <c r="Q100" s="48"/>
      <c r="R100" s="48"/>
      <c r="S100" s="1084"/>
      <c r="T100" s="72">
        <f t="shared" si="27"/>
        <v>0</v>
      </c>
      <c r="U100" s="69"/>
      <c r="V100" s="56"/>
      <c r="W100" s="896"/>
    </row>
    <row r="101" spans="2:23" x14ac:dyDescent="0.25">
      <c r="B101" s="1072"/>
      <c r="C101" s="110"/>
      <c r="D101" s="114" t="s">
        <v>231</v>
      </c>
      <c r="E101" s="114"/>
      <c r="F101" s="114"/>
      <c r="G101" s="114"/>
      <c r="H101" s="114"/>
      <c r="I101" s="703">
        <f t="shared" si="24"/>
        <v>1.2935402210833108E-5</v>
      </c>
      <c r="J101" s="97">
        <f t="shared" si="25"/>
        <v>217</v>
      </c>
      <c r="K101" s="45">
        <f t="shared" si="26"/>
        <v>0</v>
      </c>
      <c r="L101" s="69"/>
      <c r="M101" s="48"/>
      <c r="N101" s="48"/>
      <c r="O101" s="48"/>
      <c r="P101" s="48"/>
      <c r="Q101" s="48"/>
      <c r="R101" s="48"/>
      <c r="S101" s="1084"/>
      <c r="T101" s="72">
        <f t="shared" si="27"/>
        <v>217</v>
      </c>
      <c r="U101" s="69"/>
      <c r="V101" s="56">
        <v>217</v>
      </c>
      <c r="W101" s="896"/>
    </row>
    <row r="102" spans="2:23" x14ac:dyDescent="0.25">
      <c r="B102" s="1072"/>
      <c r="C102" s="110"/>
      <c r="D102" s="115" t="s">
        <v>232</v>
      </c>
      <c r="E102" s="115"/>
      <c r="F102" s="115"/>
      <c r="G102" s="115"/>
      <c r="H102" s="115"/>
      <c r="I102" s="703">
        <f t="shared" si="24"/>
        <v>2.8034652809930002E-4</v>
      </c>
      <c r="J102" s="97">
        <f t="shared" si="25"/>
        <v>4703</v>
      </c>
      <c r="K102" s="45">
        <f t="shared" si="26"/>
        <v>4703</v>
      </c>
      <c r="L102" s="69"/>
      <c r="M102" s="48"/>
      <c r="N102" s="48"/>
      <c r="O102" s="48">
        <v>4703</v>
      </c>
      <c r="P102" s="48"/>
      <c r="Q102" s="48"/>
      <c r="R102" s="48"/>
      <c r="S102" s="1084"/>
      <c r="T102" s="72">
        <f t="shared" si="27"/>
        <v>0</v>
      </c>
      <c r="U102" s="69"/>
      <c r="V102" s="56"/>
      <c r="W102" s="896"/>
    </row>
    <row r="103" spans="2:23" x14ac:dyDescent="0.25">
      <c r="B103" s="1072"/>
      <c r="C103" s="110"/>
      <c r="D103" s="114" t="s">
        <v>233</v>
      </c>
      <c r="E103" s="114"/>
      <c r="F103" s="114"/>
      <c r="G103" s="114"/>
      <c r="H103" s="114"/>
      <c r="I103" s="703">
        <f t="shared" si="24"/>
        <v>1.3409302890907409E-3</v>
      </c>
      <c r="J103" s="97">
        <f t="shared" si="25"/>
        <v>22495</v>
      </c>
      <c r="K103" s="45">
        <f t="shared" si="26"/>
        <v>7495</v>
      </c>
      <c r="L103" s="69"/>
      <c r="M103" s="48"/>
      <c r="N103" s="48"/>
      <c r="O103" s="48">
        <v>7495</v>
      </c>
      <c r="P103" s="48"/>
      <c r="Q103" s="48"/>
      <c r="R103" s="48"/>
      <c r="S103" s="1084"/>
      <c r="T103" s="72">
        <f t="shared" si="27"/>
        <v>15000</v>
      </c>
      <c r="U103" s="69"/>
      <c r="V103" s="56">
        <v>15000</v>
      </c>
      <c r="W103" s="896"/>
    </row>
    <row r="104" spans="2:23" x14ac:dyDescent="0.25">
      <c r="B104" s="1072"/>
      <c r="C104" s="110"/>
      <c r="D104" s="115" t="s">
        <v>646</v>
      </c>
      <c r="E104" s="115"/>
      <c r="F104" s="115"/>
      <c r="G104" s="115"/>
      <c r="H104" s="115"/>
      <c r="I104" s="703">
        <f t="shared" si="24"/>
        <v>0</v>
      </c>
      <c r="J104" s="98">
        <f t="shared" si="25"/>
        <v>0</v>
      </c>
      <c r="K104" s="45">
        <f t="shared" si="26"/>
        <v>0</v>
      </c>
      <c r="L104" s="75"/>
      <c r="M104" s="51"/>
      <c r="N104" s="51"/>
      <c r="O104" s="51"/>
      <c r="P104" s="51"/>
      <c r="Q104" s="51"/>
      <c r="R104" s="51"/>
      <c r="S104" s="1084"/>
      <c r="T104" s="73">
        <f t="shared" si="27"/>
        <v>0</v>
      </c>
      <c r="U104" s="75"/>
      <c r="V104" s="79"/>
      <c r="W104" s="896"/>
    </row>
    <row r="105" spans="2:23" ht="15.75" thickBot="1" x14ac:dyDescent="0.3">
      <c r="B105" s="1072"/>
      <c r="C105" s="110"/>
      <c r="D105" s="109"/>
      <c r="E105" s="109"/>
      <c r="F105" s="109"/>
      <c r="G105" s="113" t="s">
        <v>174</v>
      </c>
      <c r="H105" s="113"/>
      <c r="I105" s="704">
        <f t="shared" si="24"/>
        <v>4.1497962495321346E-2</v>
      </c>
      <c r="J105" s="99">
        <f t="shared" ref="J105:R105" si="28">SUM(J94:J104)</f>
        <v>696156</v>
      </c>
      <c r="K105" s="60">
        <f t="shared" si="28"/>
        <v>665334</v>
      </c>
      <c r="L105" s="1086">
        <f t="shared" si="28"/>
        <v>75624</v>
      </c>
      <c r="M105" s="1087">
        <f t="shared" si="28"/>
        <v>0</v>
      </c>
      <c r="N105" s="1087">
        <f t="shared" si="28"/>
        <v>0</v>
      </c>
      <c r="O105" s="1087">
        <f t="shared" si="28"/>
        <v>589710</v>
      </c>
      <c r="P105" s="1087">
        <f t="shared" si="28"/>
        <v>0</v>
      </c>
      <c r="Q105" s="1087">
        <f t="shared" si="28"/>
        <v>0</v>
      </c>
      <c r="R105" s="1087">
        <f t="shared" si="28"/>
        <v>0</v>
      </c>
      <c r="S105" s="1088"/>
      <c r="T105" s="1089">
        <f>SUM(T94:T104)</f>
        <v>30822</v>
      </c>
      <c r="U105" s="1086">
        <f>SUM(U94:U104)</f>
        <v>0</v>
      </c>
      <c r="V105" s="1090">
        <f>SUM(V94:V104)</f>
        <v>30822</v>
      </c>
      <c r="W105" s="896"/>
    </row>
    <row r="106" spans="2:23" ht="9" customHeight="1" thickBot="1" x14ac:dyDescent="0.3">
      <c r="B106" s="1092"/>
      <c r="C106" s="87"/>
      <c r="D106" s="88"/>
      <c r="E106" s="88"/>
      <c r="F106" s="88"/>
      <c r="G106" s="88"/>
      <c r="H106" s="88"/>
      <c r="I106" s="916"/>
      <c r="J106" s="1093"/>
      <c r="K106" s="1102"/>
      <c r="L106" s="89"/>
      <c r="M106" s="89"/>
      <c r="N106" s="89"/>
      <c r="O106" s="89"/>
      <c r="P106" s="89"/>
      <c r="Q106" s="1102"/>
      <c r="R106" s="89"/>
      <c r="S106" s="1103"/>
      <c r="T106" s="89"/>
      <c r="U106" s="89"/>
      <c r="V106" s="89"/>
      <c r="W106" s="917"/>
    </row>
    <row r="107" spans="2:23" ht="3.75" customHeight="1" x14ac:dyDescent="0.25">
      <c r="B107" s="1072"/>
      <c r="C107" s="112"/>
      <c r="D107" s="113"/>
      <c r="E107" s="113"/>
      <c r="F107" s="113"/>
      <c r="G107" s="113"/>
      <c r="H107" s="113"/>
      <c r="I107" s="1074"/>
      <c r="J107" s="1074"/>
      <c r="K107" s="110"/>
      <c r="L107" s="40"/>
      <c r="M107" s="40"/>
      <c r="N107" s="40"/>
      <c r="O107" s="40"/>
      <c r="P107" s="40"/>
      <c r="Q107" s="110"/>
      <c r="R107" s="40"/>
      <c r="S107" s="1084"/>
      <c r="T107" s="40"/>
      <c r="U107" s="40"/>
      <c r="V107" s="40"/>
      <c r="W107" s="896"/>
    </row>
    <row r="108" spans="2:23" ht="15.75" thickBot="1" x14ac:dyDescent="0.3">
      <c r="B108" s="1072"/>
      <c r="C108" s="143" t="s">
        <v>235</v>
      </c>
      <c r="D108" s="143"/>
      <c r="E108" s="143"/>
      <c r="F108" s="143"/>
      <c r="G108" s="143"/>
      <c r="H108" s="112"/>
      <c r="I108" s="112"/>
      <c r="J108" s="112"/>
      <c r="K108" s="112"/>
      <c r="L108" s="40"/>
      <c r="M108" s="40"/>
      <c r="N108" s="40"/>
      <c r="O108" s="40"/>
      <c r="P108" s="40"/>
      <c r="Q108" s="133"/>
      <c r="R108" s="40"/>
      <c r="S108" s="1084"/>
      <c r="T108" s="40"/>
      <c r="U108" s="40"/>
      <c r="V108" s="40"/>
      <c r="W108" s="896"/>
    </row>
    <row r="109" spans="2:23" x14ac:dyDescent="0.25">
      <c r="B109" s="1072"/>
      <c r="C109" s="133"/>
      <c r="D109" s="263" t="s">
        <v>236</v>
      </c>
      <c r="E109" s="263"/>
      <c r="F109" s="263"/>
      <c r="G109" s="263"/>
      <c r="H109" s="263"/>
      <c r="I109" s="702">
        <f t="shared" ref="I109:I116" si="29">IFERROR(J109/J$118," ")</f>
        <v>0</v>
      </c>
      <c r="J109" s="93">
        <f t="shared" ref="J109:J115" si="30">K109+T109</f>
        <v>0</v>
      </c>
      <c r="K109" s="57">
        <f t="shared" ref="K109:K115" si="31">SUM(L109:R109)</f>
        <v>0</v>
      </c>
      <c r="L109" s="67"/>
      <c r="M109" s="47"/>
      <c r="N109" s="47"/>
      <c r="O109" s="2086"/>
      <c r="P109" s="47"/>
      <c r="Q109" s="47"/>
      <c r="R109" s="47"/>
      <c r="S109" s="1082"/>
      <c r="T109" s="59">
        <f t="shared" ref="T109:T115" si="32">SUM(U109:V109)</f>
        <v>0</v>
      </c>
      <c r="U109" s="67"/>
      <c r="V109" s="55"/>
      <c r="W109" s="896"/>
    </row>
    <row r="110" spans="2:23" x14ac:dyDescent="0.25">
      <c r="B110" s="1072"/>
      <c r="C110" s="133"/>
      <c r="D110" s="109" t="s">
        <v>237</v>
      </c>
      <c r="E110" s="109"/>
      <c r="F110" s="109"/>
      <c r="G110" s="109"/>
      <c r="H110" s="109"/>
      <c r="I110" s="703">
        <f t="shared" si="29"/>
        <v>0</v>
      </c>
      <c r="J110" s="94">
        <f t="shared" si="30"/>
        <v>0</v>
      </c>
      <c r="K110" s="61">
        <f t="shared" si="31"/>
        <v>0</v>
      </c>
      <c r="L110" s="69"/>
      <c r="M110" s="48"/>
      <c r="N110" s="48"/>
      <c r="O110" s="48"/>
      <c r="P110" s="48"/>
      <c r="Q110" s="48"/>
      <c r="R110" s="48"/>
      <c r="S110" s="1084"/>
      <c r="T110" s="76">
        <f t="shared" si="32"/>
        <v>0</v>
      </c>
      <c r="U110" s="69"/>
      <c r="V110" s="56"/>
      <c r="W110" s="896"/>
    </row>
    <row r="111" spans="2:23" x14ac:dyDescent="0.25">
      <c r="B111" s="1072"/>
      <c r="C111" s="110"/>
      <c r="D111" s="109" t="s">
        <v>238</v>
      </c>
      <c r="E111" s="109"/>
      <c r="F111" s="109"/>
      <c r="G111" s="109"/>
      <c r="H111" s="109"/>
      <c r="I111" s="703">
        <f t="shared" si="29"/>
        <v>0</v>
      </c>
      <c r="J111" s="94">
        <f t="shared" si="30"/>
        <v>0</v>
      </c>
      <c r="K111" s="61">
        <f t="shared" si="31"/>
        <v>0</v>
      </c>
      <c r="L111" s="69"/>
      <c r="M111" s="48"/>
      <c r="N111" s="48"/>
      <c r="O111" s="48"/>
      <c r="P111" s="48"/>
      <c r="Q111" s="48"/>
      <c r="R111" s="48"/>
      <c r="S111" s="1084"/>
      <c r="T111" s="76">
        <f t="shared" si="32"/>
        <v>0</v>
      </c>
      <c r="U111" s="69"/>
      <c r="V111" s="56"/>
      <c r="W111" s="896"/>
    </row>
    <row r="112" spans="2:23" x14ac:dyDescent="0.25">
      <c r="B112" s="1072"/>
      <c r="C112" s="110"/>
      <c r="D112" s="109" t="s">
        <v>239</v>
      </c>
      <c r="E112" s="109"/>
      <c r="F112" s="109"/>
      <c r="G112" s="109"/>
      <c r="H112" s="109"/>
      <c r="I112" s="703">
        <f>IFERROR(J112/J$118," ")</f>
        <v>0</v>
      </c>
      <c r="J112" s="94">
        <f t="shared" si="30"/>
        <v>0</v>
      </c>
      <c r="K112" s="61">
        <f t="shared" si="31"/>
        <v>0</v>
      </c>
      <c r="L112" s="69"/>
      <c r="M112" s="48"/>
      <c r="N112" s="48"/>
      <c r="O112" s="48"/>
      <c r="P112" s="48"/>
      <c r="Q112" s="48"/>
      <c r="R112" s="48"/>
      <c r="S112" s="1084"/>
      <c r="T112" s="76">
        <f t="shared" si="32"/>
        <v>0</v>
      </c>
      <c r="U112" s="69"/>
      <c r="V112" s="56"/>
      <c r="W112" s="896"/>
    </row>
    <row r="113" spans="2:23" x14ac:dyDescent="0.25">
      <c r="B113" s="1072"/>
      <c r="C113" s="110"/>
      <c r="D113" s="109" t="s">
        <v>240</v>
      </c>
      <c r="E113" s="109"/>
      <c r="F113" s="109"/>
      <c r="G113" s="109"/>
      <c r="H113" s="109"/>
      <c r="I113" s="703">
        <f t="shared" si="29"/>
        <v>0</v>
      </c>
      <c r="J113" s="94">
        <f t="shared" si="30"/>
        <v>0</v>
      </c>
      <c r="K113" s="61">
        <f t="shared" si="31"/>
        <v>0</v>
      </c>
      <c r="L113" s="69"/>
      <c r="M113" s="48"/>
      <c r="N113" s="48"/>
      <c r="O113" s="48"/>
      <c r="P113" s="48"/>
      <c r="Q113" s="48"/>
      <c r="R113" s="48"/>
      <c r="S113" s="1084"/>
      <c r="T113" s="76">
        <f t="shared" si="32"/>
        <v>0</v>
      </c>
      <c r="U113" s="69"/>
      <c r="V113" s="56"/>
      <c r="W113" s="896"/>
    </row>
    <row r="114" spans="2:23" x14ac:dyDescent="0.25">
      <c r="B114" s="1072"/>
      <c r="C114" s="110"/>
      <c r="D114" s="109" t="s">
        <v>241</v>
      </c>
      <c r="E114" s="109"/>
      <c r="F114" s="109"/>
      <c r="G114" s="109"/>
      <c r="H114" s="109"/>
      <c r="I114" s="703">
        <f t="shared" si="29"/>
        <v>0</v>
      </c>
      <c r="J114" s="94">
        <f t="shared" si="30"/>
        <v>0</v>
      </c>
      <c r="K114" s="61">
        <f t="shared" si="31"/>
        <v>0</v>
      </c>
      <c r="L114" s="69"/>
      <c r="M114" s="48"/>
      <c r="N114" s="48"/>
      <c r="O114" s="48"/>
      <c r="P114" s="48"/>
      <c r="Q114" s="48"/>
      <c r="R114" s="48"/>
      <c r="S114" s="1084"/>
      <c r="T114" s="76">
        <f t="shared" si="32"/>
        <v>0</v>
      </c>
      <c r="U114" s="69"/>
      <c r="V114" s="56"/>
      <c r="W114" s="896"/>
    </row>
    <row r="115" spans="2:23" x14ac:dyDescent="0.25">
      <c r="B115" s="1072"/>
      <c r="C115" s="110"/>
      <c r="D115" s="109" t="s">
        <v>242</v>
      </c>
      <c r="E115" s="109"/>
      <c r="F115" s="109"/>
      <c r="G115" s="109"/>
      <c r="H115" s="109"/>
      <c r="I115" s="705">
        <f t="shared" si="29"/>
        <v>0</v>
      </c>
      <c r="J115" s="95">
        <f t="shared" si="30"/>
        <v>0</v>
      </c>
      <c r="K115" s="61">
        <f t="shared" si="31"/>
        <v>0</v>
      </c>
      <c r="L115" s="75"/>
      <c r="M115" s="51"/>
      <c r="N115" s="51"/>
      <c r="O115" s="51"/>
      <c r="P115" s="51"/>
      <c r="Q115" s="51"/>
      <c r="R115" s="51"/>
      <c r="S115" s="1084"/>
      <c r="T115" s="77">
        <f t="shared" si="32"/>
        <v>0</v>
      </c>
      <c r="U115" s="75"/>
      <c r="V115" s="79"/>
      <c r="W115" s="896"/>
    </row>
    <row r="116" spans="2:23" ht="15.75" thickBot="1" x14ac:dyDescent="0.3">
      <c r="B116" s="1072"/>
      <c r="C116" s="110"/>
      <c r="D116" s="109"/>
      <c r="E116" s="109"/>
      <c r="F116" s="109"/>
      <c r="G116" s="113" t="s">
        <v>174</v>
      </c>
      <c r="H116" s="113"/>
      <c r="I116" s="704">
        <f t="shared" si="29"/>
        <v>0</v>
      </c>
      <c r="J116" s="99">
        <f t="shared" ref="J116:R116" si="33">SUM(J109:J115)</f>
        <v>0</v>
      </c>
      <c r="K116" s="60">
        <f t="shared" si="33"/>
        <v>0</v>
      </c>
      <c r="L116" s="1086">
        <f t="shared" si="33"/>
        <v>0</v>
      </c>
      <c r="M116" s="1087">
        <f t="shared" si="33"/>
        <v>0</v>
      </c>
      <c r="N116" s="1087">
        <f t="shared" si="33"/>
        <v>0</v>
      </c>
      <c r="O116" s="1087">
        <f t="shared" si="33"/>
        <v>0</v>
      </c>
      <c r="P116" s="1087">
        <f t="shared" si="33"/>
        <v>0</v>
      </c>
      <c r="Q116" s="1087">
        <f t="shared" si="33"/>
        <v>0</v>
      </c>
      <c r="R116" s="1087">
        <f t="shared" si="33"/>
        <v>0</v>
      </c>
      <c r="S116" s="1088"/>
      <c r="T116" s="1089">
        <f>SUM(T109:T115)</f>
        <v>0</v>
      </c>
      <c r="U116" s="1086">
        <f>SUM(U109:U115)</f>
        <v>0</v>
      </c>
      <c r="V116" s="1090">
        <f>SUM(V109:V115)</f>
        <v>0</v>
      </c>
      <c r="W116" s="896"/>
    </row>
    <row r="117" spans="2:23" ht="7.5" customHeight="1" thickBot="1" x14ac:dyDescent="0.3">
      <c r="B117" s="1072"/>
      <c r="C117" s="115"/>
      <c r="D117" s="109"/>
      <c r="E117" s="109"/>
      <c r="F117" s="109"/>
      <c r="G117" s="109"/>
      <c r="H117" s="109"/>
      <c r="I117" s="110"/>
      <c r="J117" s="44"/>
      <c r="K117" s="110"/>
      <c r="L117" s="44"/>
      <c r="M117" s="44"/>
      <c r="N117" s="44"/>
      <c r="O117" s="44"/>
      <c r="P117" s="44"/>
      <c r="Q117" s="110"/>
      <c r="R117" s="44"/>
      <c r="S117" s="1084"/>
      <c r="T117" s="44"/>
      <c r="U117" s="44"/>
      <c r="V117" s="44"/>
      <c r="W117" s="896"/>
    </row>
    <row r="118" spans="2:23" ht="15.75" thickBot="1" x14ac:dyDescent="0.3">
      <c r="B118" s="1072"/>
      <c r="C118" s="265" t="s">
        <v>243</v>
      </c>
      <c r="D118" s="266"/>
      <c r="E118" s="266"/>
      <c r="F118" s="266"/>
      <c r="G118" s="266"/>
      <c r="H118" s="266"/>
      <c r="I118" s="91"/>
      <c r="J118" s="82">
        <f>J26+J45+J61+J66+J74+J85+J91+J105+J116</f>
        <v>16775667</v>
      </c>
      <c r="K118" s="58">
        <f>K26+K45+K61+K66+K74+K85+K91+K105+K116</f>
        <v>16215812</v>
      </c>
      <c r="L118" s="1104"/>
      <c r="M118" s="1104"/>
      <c r="N118" s="1104"/>
      <c r="O118" s="1852"/>
      <c r="P118" s="1104"/>
      <c r="Q118" s="1104"/>
      <c r="R118" s="1104"/>
      <c r="S118" s="1082"/>
      <c r="T118" s="78">
        <f>T26+T45+T61+T66+T74+T85+T91+T105+T116</f>
        <v>559855</v>
      </c>
      <c r="U118" s="1104"/>
      <c r="V118" s="1105"/>
      <c r="W118" s="896"/>
    </row>
    <row r="119" spans="2:23" ht="15.75" thickBot="1" x14ac:dyDescent="0.3">
      <c r="B119" s="1072"/>
      <c r="C119" s="267" t="s">
        <v>244</v>
      </c>
      <c r="D119" s="268"/>
      <c r="E119" s="268"/>
      <c r="F119" s="268"/>
      <c r="G119" s="268"/>
      <c r="H119" s="268"/>
      <c r="I119" s="92"/>
      <c r="J119" s="81">
        <f>K119+T119</f>
        <v>16775667</v>
      </c>
      <c r="K119" s="2087">
        <f>SUM(L119:R119)</f>
        <v>16215812</v>
      </c>
      <c r="L119" s="2088">
        <f t="shared" ref="L119:R119" si="34">L26+L45+L61+L66+L74+L85+L91+L105+L116</f>
        <v>790000</v>
      </c>
      <c r="M119" s="2089">
        <f t="shared" si="34"/>
        <v>500000</v>
      </c>
      <c r="N119" s="2089">
        <f t="shared" si="34"/>
        <v>1088276</v>
      </c>
      <c r="O119" s="2089">
        <f t="shared" si="34"/>
        <v>2500000</v>
      </c>
      <c r="P119" s="2089">
        <f t="shared" si="34"/>
        <v>10979003</v>
      </c>
      <c r="Q119" s="2089">
        <f t="shared" si="34"/>
        <v>308533</v>
      </c>
      <c r="R119" s="2089">
        <f t="shared" si="34"/>
        <v>50000</v>
      </c>
      <c r="S119" s="1108"/>
      <c r="T119" s="1089">
        <f>SUM(U119:V119)</f>
        <v>559855</v>
      </c>
      <c r="U119" s="1106">
        <f>U26+U45+U61+U66+U74+U85+U91+U105+U116</f>
        <v>295000</v>
      </c>
      <c r="V119" s="1109">
        <f>V26+V45+V61+V66+V74+V85+V91+V105+V116</f>
        <v>264855</v>
      </c>
      <c r="W119" s="896"/>
    </row>
    <row r="120" spans="2:23" x14ac:dyDescent="0.25">
      <c r="B120" s="1072"/>
      <c r="C120" s="707"/>
      <c r="D120" s="707"/>
      <c r="E120" s="707"/>
      <c r="F120" s="707"/>
      <c r="G120" s="707"/>
      <c r="H120" s="707"/>
      <c r="I120" s="708"/>
      <c r="J120" s="814"/>
      <c r="K120" s="709" t="str">
        <f>IF(J119&lt;&gt;('7A - 9%'!F36+'7A - 9%'!F44),"WARNING: Sources on Form 6A(b) do not match Sources on Form 7A(b)","")</f>
        <v/>
      </c>
      <c r="L120" s="40"/>
      <c r="M120" s="40"/>
      <c r="N120" s="40"/>
      <c r="O120" s="40"/>
      <c r="P120" s="40"/>
      <c r="Q120" s="40"/>
      <c r="R120" s="40"/>
      <c r="S120" s="1110"/>
      <c r="T120" s="40"/>
      <c r="U120" s="40"/>
      <c r="V120" s="40"/>
      <c r="W120" s="896"/>
    </row>
    <row r="121" spans="2:23" ht="9" customHeight="1" thickBot="1" x14ac:dyDescent="0.3">
      <c r="B121" s="1092"/>
      <c r="C121" s="1111"/>
      <c r="D121" s="1111"/>
      <c r="E121" s="1111"/>
      <c r="F121" s="1111"/>
      <c r="G121" s="1111"/>
      <c r="H121" s="1111"/>
      <c r="I121" s="1111"/>
      <c r="J121" s="1112" t="s">
        <v>34</v>
      </c>
      <c r="K121" s="1111"/>
      <c r="L121" s="1111"/>
      <c r="M121" s="1111"/>
      <c r="N121" s="1111"/>
      <c r="O121" s="1111"/>
      <c r="P121" s="1111"/>
      <c r="Q121" s="1111"/>
      <c r="R121" s="1111"/>
      <c r="S121" s="1111"/>
      <c r="T121" s="1111"/>
      <c r="U121" s="1111"/>
      <c r="V121" s="1111"/>
      <c r="W121" s="1113"/>
    </row>
    <row r="124" spans="2:23" x14ac:dyDescent="0.25">
      <c r="N124" s="1114"/>
      <c r="O124" s="1114"/>
    </row>
    <row r="125" spans="2:23" x14ac:dyDescent="0.25">
      <c r="J125" s="2017"/>
    </row>
  </sheetData>
  <sheetProtection password="9F6B" sheet="1" objects="1" scenarios="1" formatCells="0" formatColumns="0" formatRows="0"/>
  <mergeCells count="21">
    <mergeCell ref="C11:V11"/>
    <mergeCell ref="I15:I18"/>
    <mergeCell ref="J15:J18"/>
    <mergeCell ref="K15:R15"/>
    <mergeCell ref="T15:V15"/>
    <mergeCell ref="K16:K18"/>
    <mergeCell ref="T16:T18"/>
    <mergeCell ref="L17:L18"/>
    <mergeCell ref="M17:M18"/>
    <mergeCell ref="N17:N18"/>
    <mergeCell ref="Q17:Q18"/>
    <mergeCell ref="R17:R18"/>
    <mergeCell ref="U17:U18"/>
    <mergeCell ref="V17:V18"/>
    <mergeCell ref="P17:P18"/>
    <mergeCell ref="O17:O18"/>
    <mergeCell ref="E25:G25"/>
    <mergeCell ref="E44:G44"/>
    <mergeCell ref="E60:G60"/>
    <mergeCell ref="E84:G84"/>
    <mergeCell ref="E90:G90"/>
  </mergeCells>
  <dataValidations disablePrompts="1" count="2">
    <dataValidation allowBlank="1" showInputMessage="1" showErrorMessage="1" promptTitle="Rehab Contingency %" prompt="Defined as Rehab Contingency divided by the sum of Rehab, Contractor Profit, Contractor Overhead, and Bond Premium amounts_x000a__x000a_% =J27 / (J23+J24+J25+J34)" sqref="G35"/>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dataValidations>
  <pageMargins left="0.25" right="0.25" top="0.75" bottom="0.75" header="0.3" footer="0.3"/>
  <pageSetup scale="77" fitToHeight="0" orientation="landscape" r:id="rId1"/>
  <headerFooter>
    <oddFooter>&amp;LForm 6A(b)
Development Budgets&amp;CCFA Forms&amp;REdition: 2015
Version: 1.1</oddFooter>
  </headerFooter>
  <rowBreaks count="3" manualBreakCount="3">
    <brk id="46" min="1" max="21" man="1"/>
    <brk id="75" min="1" max="21" man="1"/>
    <brk id="106" min="1" max="21" man="1"/>
  </rowBreaks>
  <drawing r:id="rId2"/>
  <extLst>
    <ext xmlns:x14="http://schemas.microsoft.com/office/spreadsheetml/2009/9/main" uri="{78C0D931-6437-407d-A8EE-F0AAD7539E65}">
      <x14:conditionalFormattings>
        <x14:conditionalFormatting xmlns:xm="http://schemas.microsoft.com/office/excel/2006/main">
          <x14:cfRule type="expression" priority="2" id="{92616CFD-8F3A-46C4-AF8C-74AABE4D6EB7}">
            <xm:f>$J$119&lt;&gt;('7A - 9%'!$F$36+'7A - 9%'!$F$44)</xm:f>
            <x14:dxf>
              <font>
                <color rgb="FF800000"/>
              </font>
              <fill>
                <patternFill>
                  <bgColor theme="5" tint="0.79998168889431442"/>
                </patternFill>
              </fill>
            </x14:dxf>
          </x14:cfRule>
          <xm:sqref>J119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5:L104"/>
  <sheetViews>
    <sheetView showGridLines="0" zoomScaleNormal="100" workbookViewId="0">
      <selection activeCell="J89" sqref="J89:K89"/>
    </sheetView>
  </sheetViews>
  <sheetFormatPr defaultRowHeight="15" x14ac:dyDescent="0.25"/>
  <cols>
    <col min="1" max="2" width="1.7109375" style="838" customWidth="1"/>
    <col min="3" max="3" width="2.85546875" style="838" customWidth="1"/>
    <col min="4" max="4" width="5.7109375" style="838" customWidth="1"/>
    <col min="5" max="5" width="8.5703125" style="838" customWidth="1"/>
    <col min="6" max="6" width="12.85546875" style="838" customWidth="1"/>
    <col min="7" max="7" width="10.7109375" style="838" customWidth="1"/>
    <col min="8" max="8" width="1.42578125" style="838" customWidth="1"/>
    <col min="9" max="9" width="11.42578125" style="838" customWidth="1"/>
    <col min="10" max="10" width="19.28515625" style="838" customWidth="1"/>
    <col min="11" max="11" width="40.7109375" style="838" customWidth="1"/>
    <col min="12" max="12" width="1.7109375" style="838" customWidth="1"/>
    <col min="13" max="16384" width="9.140625" style="838"/>
  </cols>
  <sheetData>
    <row r="5" spans="2:12" ht="15.75" thickBot="1" x14ac:dyDescent="0.3"/>
    <row r="6" spans="2:12" ht="9" customHeight="1" x14ac:dyDescent="0.25">
      <c r="B6" s="1115"/>
      <c r="C6" s="1116"/>
      <c r="D6" s="1116"/>
      <c r="E6" s="1116"/>
      <c r="F6" s="1116"/>
      <c r="G6" s="1116"/>
      <c r="H6" s="1116"/>
      <c r="I6" s="1116"/>
      <c r="J6" s="1116"/>
      <c r="K6" s="1116"/>
      <c r="L6" s="1117"/>
    </row>
    <row r="7" spans="2:12" ht="18.75" x14ac:dyDescent="0.3">
      <c r="B7" s="1118"/>
      <c r="C7" s="2130" t="s">
        <v>1379</v>
      </c>
      <c r="D7" s="2130"/>
      <c r="E7" s="2130"/>
      <c r="F7" s="2130"/>
      <c r="G7" s="2130"/>
      <c r="H7" s="2130"/>
      <c r="I7" s="2130"/>
      <c r="J7" s="2130"/>
      <c r="K7" s="2130"/>
      <c r="L7" s="1119"/>
    </row>
    <row r="8" spans="2:12" x14ac:dyDescent="0.25">
      <c r="B8" s="1118"/>
      <c r="C8" s="1120"/>
      <c r="D8" s="1120"/>
      <c r="E8" s="1120"/>
      <c r="F8" s="1120"/>
      <c r="G8" s="1120"/>
      <c r="H8" s="1120"/>
      <c r="I8" s="1120"/>
      <c r="J8" s="1120"/>
      <c r="K8" s="1120"/>
      <c r="L8" s="1119"/>
    </row>
    <row r="9" spans="2:12" x14ac:dyDescent="0.25">
      <c r="B9" s="1118"/>
      <c r="C9" s="814"/>
      <c r="D9" s="808" t="s">
        <v>59</v>
      </c>
      <c r="E9" s="1121"/>
      <c r="F9" s="1803" t="str">
        <f>IF('1A'!G5="","Enter Project Name on Form 1A",'1A'!G5)</f>
        <v>University District Apartments</v>
      </c>
      <c r="G9" s="1803"/>
      <c r="H9" s="924"/>
      <c r="I9" s="1803"/>
      <c r="J9" s="1803"/>
      <c r="K9" s="1123"/>
      <c r="L9" s="1119"/>
    </row>
    <row r="10" spans="2:12" ht="3.75" customHeight="1" x14ac:dyDescent="0.25">
      <c r="B10" s="1124"/>
      <c r="C10" s="1125"/>
      <c r="D10" s="1125"/>
      <c r="E10" s="1125"/>
      <c r="F10" s="1125"/>
      <c r="G10" s="1125"/>
      <c r="H10" s="1125"/>
      <c r="I10" s="1125"/>
      <c r="J10" s="1125"/>
      <c r="K10" s="1074"/>
      <c r="L10" s="1119"/>
    </row>
    <row r="11" spans="2:12" x14ac:dyDescent="0.25">
      <c r="B11" s="1118"/>
      <c r="C11" s="814"/>
      <c r="D11" s="808" t="s">
        <v>1400</v>
      </c>
      <c r="E11" s="1121"/>
      <c r="F11" s="1822" t="str">
        <f>IF('1A'!G44="","Enter Site Name on Form 1A",'1A'!G44)</f>
        <v>Project B - 9%</v>
      </c>
      <c r="G11" s="1822"/>
      <c r="H11" s="924"/>
      <c r="I11" s="1822"/>
      <c r="J11" s="1822"/>
      <c r="K11" s="1123"/>
      <c r="L11" s="1119"/>
    </row>
    <row r="12" spans="2:12" ht="7.5" customHeight="1" thickBot="1" x14ac:dyDescent="0.3">
      <c r="B12" s="1124"/>
      <c r="C12" s="1125"/>
      <c r="D12" s="1125"/>
      <c r="E12" s="1125"/>
      <c r="F12" s="1125"/>
      <c r="G12" s="1125"/>
      <c r="H12" s="1125"/>
      <c r="I12" s="1125"/>
      <c r="J12" s="1125"/>
      <c r="K12" s="1074"/>
      <c r="L12" s="1119"/>
    </row>
    <row r="13" spans="2:12" x14ac:dyDescent="0.25">
      <c r="B13" s="1124"/>
      <c r="C13" s="133"/>
      <c r="D13" s="133"/>
      <c r="E13" s="133"/>
      <c r="F13" s="133"/>
      <c r="G13" s="133"/>
      <c r="H13" s="133"/>
      <c r="I13" s="2293" t="s">
        <v>164</v>
      </c>
      <c r="J13" s="2294"/>
      <c r="K13" s="2295"/>
      <c r="L13" s="1119"/>
    </row>
    <row r="14" spans="2:12" ht="37.5" customHeight="1" thickBot="1" x14ac:dyDescent="0.3">
      <c r="B14" s="1124"/>
      <c r="C14" s="134"/>
      <c r="D14" s="110"/>
      <c r="E14" s="110"/>
      <c r="F14" s="135"/>
      <c r="G14" s="135"/>
      <c r="H14" s="135"/>
      <c r="I14" s="273" t="s">
        <v>245</v>
      </c>
      <c r="J14" s="2296" t="s">
        <v>246</v>
      </c>
      <c r="K14" s="2297"/>
      <c r="L14" s="1119"/>
    </row>
    <row r="15" spans="2:12" ht="15.75" thickBot="1" x14ac:dyDescent="0.3">
      <c r="B15" s="1124"/>
      <c r="C15" s="125" t="s">
        <v>168</v>
      </c>
      <c r="D15" s="126"/>
      <c r="E15" s="126"/>
      <c r="F15" s="127"/>
      <c r="G15" s="127"/>
      <c r="H15" s="127"/>
      <c r="I15" s="106"/>
      <c r="J15" s="106"/>
      <c r="K15" s="1120"/>
      <c r="L15" s="1119"/>
    </row>
    <row r="16" spans="2:12" ht="23.25" customHeight="1" x14ac:dyDescent="0.25">
      <c r="B16" s="1124"/>
      <c r="C16" s="1074"/>
      <c r="D16" s="259" t="s">
        <v>169</v>
      </c>
      <c r="E16" s="259"/>
      <c r="F16" s="259"/>
      <c r="G16" s="259"/>
      <c r="H16" s="260"/>
      <c r="I16" s="764">
        <f>'6A - 9%'!K20</f>
        <v>1567551</v>
      </c>
      <c r="J16" s="2298" t="s">
        <v>1625</v>
      </c>
      <c r="K16" s="2299"/>
      <c r="L16" s="1119"/>
    </row>
    <row r="17" spans="2:12" x14ac:dyDescent="0.25">
      <c r="B17" s="1124"/>
      <c r="C17" s="1074"/>
      <c r="D17" s="261" t="s">
        <v>170</v>
      </c>
      <c r="E17" s="261"/>
      <c r="F17" s="261"/>
      <c r="G17" s="261"/>
      <c r="H17" s="262"/>
      <c r="I17" s="107">
        <f>'6A - 9%'!K21</f>
        <v>0</v>
      </c>
      <c r="J17" s="2283"/>
      <c r="K17" s="2284"/>
      <c r="L17" s="1119"/>
    </row>
    <row r="18" spans="2:12" x14ac:dyDescent="0.25">
      <c r="B18" s="1124"/>
      <c r="C18" s="1074"/>
      <c r="D18" s="261" t="s">
        <v>171</v>
      </c>
      <c r="E18" s="261"/>
      <c r="F18" s="261"/>
      <c r="G18" s="261"/>
      <c r="H18" s="262"/>
      <c r="I18" s="107">
        <f>'6A - 9%'!K22</f>
        <v>99931</v>
      </c>
      <c r="J18" s="2283" t="s">
        <v>1657</v>
      </c>
      <c r="K18" s="2284"/>
      <c r="L18" s="1119"/>
    </row>
    <row r="19" spans="2:12" x14ac:dyDescent="0.25">
      <c r="B19" s="1124"/>
      <c r="C19" s="1074"/>
      <c r="D19" s="261" t="s">
        <v>172</v>
      </c>
      <c r="E19" s="261"/>
      <c r="F19" s="261"/>
      <c r="G19" s="261"/>
      <c r="H19" s="262"/>
      <c r="I19" s="107">
        <f>'6A - 9%'!K23</f>
        <v>15676</v>
      </c>
      <c r="J19" s="2283" t="s">
        <v>1628</v>
      </c>
      <c r="K19" s="2284"/>
      <c r="L19" s="1119"/>
    </row>
    <row r="20" spans="2:12" x14ac:dyDescent="0.25">
      <c r="B20" s="1124"/>
      <c r="C20" s="1074"/>
      <c r="D20" s="261" t="s">
        <v>173</v>
      </c>
      <c r="E20" s="261"/>
      <c r="F20" s="261"/>
      <c r="G20" s="261"/>
      <c r="H20" s="262"/>
      <c r="I20" s="107">
        <f>'6A - 9%'!K24</f>
        <v>0</v>
      </c>
      <c r="J20" s="2283"/>
      <c r="K20" s="2284"/>
      <c r="L20" s="1119"/>
    </row>
    <row r="21" spans="2:12" ht="15.75" thickBot="1" x14ac:dyDescent="0.3">
      <c r="B21" s="1124"/>
      <c r="C21" s="1074"/>
      <c r="D21" s="261" t="s">
        <v>247</v>
      </c>
      <c r="E21" s="261"/>
      <c r="F21" s="261"/>
      <c r="G21" s="261"/>
      <c r="H21" s="262"/>
      <c r="I21" s="108">
        <f>'6A - 9%'!K25</f>
        <v>0</v>
      </c>
      <c r="J21" s="2285"/>
      <c r="K21" s="2286"/>
      <c r="L21" s="1119"/>
    </row>
    <row r="22" spans="2:12" ht="3.75" customHeight="1" x14ac:dyDescent="0.25">
      <c r="B22" s="1124"/>
      <c r="C22" s="112"/>
      <c r="D22" s="113"/>
      <c r="E22" s="113"/>
      <c r="F22" s="109"/>
      <c r="G22" s="109"/>
      <c r="H22" s="109"/>
      <c r="I22" s="102"/>
      <c r="J22" s="102"/>
      <c r="K22" s="1120"/>
      <c r="L22" s="1119"/>
    </row>
    <row r="23" spans="2:12" ht="15.75" thickBot="1" x14ac:dyDescent="0.3">
      <c r="B23" s="1124"/>
      <c r="C23" s="125" t="s">
        <v>175</v>
      </c>
      <c r="D23" s="126"/>
      <c r="E23" s="126"/>
      <c r="F23" s="127"/>
      <c r="G23" s="127"/>
      <c r="H23" s="127"/>
      <c r="I23" s="103"/>
      <c r="J23" s="103"/>
      <c r="K23" s="1074"/>
      <c r="L23" s="1119"/>
    </row>
    <row r="24" spans="2:12" x14ac:dyDescent="0.25">
      <c r="B24" s="1124"/>
      <c r="C24" s="1074"/>
      <c r="D24" s="259" t="s">
        <v>176</v>
      </c>
      <c r="E24" s="259"/>
      <c r="F24" s="259"/>
      <c r="G24" s="259"/>
      <c r="H24" s="260"/>
      <c r="I24" s="764">
        <f>'6A - 9%'!K29</f>
        <v>33176</v>
      </c>
      <c r="J24" s="2287" t="s">
        <v>1658</v>
      </c>
      <c r="K24" s="2288"/>
      <c r="L24" s="1119"/>
    </row>
    <row r="25" spans="2:12" x14ac:dyDescent="0.25">
      <c r="B25" s="1124"/>
      <c r="C25" s="1074"/>
      <c r="D25" s="261" t="s">
        <v>177</v>
      </c>
      <c r="E25" s="261"/>
      <c r="F25" s="261"/>
      <c r="G25" s="261"/>
      <c r="H25" s="262"/>
      <c r="I25" s="107">
        <f>'6A - 9%'!K30</f>
        <v>9753626</v>
      </c>
      <c r="J25" s="2283" t="s">
        <v>1658</v>
      </c>
      <c r="K25" s="2284"/>
      <c r="L25" s="1119"/>
    </row>
    <row r="26" spans="2:12" x14ac:dyDescent="0.25">
      <c r="B26" s="1124"/>
      <c r="C26" s="1074"/>
      <c r="D26" s="261" t="s">
        <v>178</v>
      </c>
      <c r="E26" s="261"/>
      <c r="F26" s="261"/>
      <c r="G26" s="261"/>
      <c r="H26" s="262"/>
      <c r="I26" s="107">
        <f>'6A - 9%'!K31</f>
        <v>0</v>
      </c>
      <c r="J26" s="2283"/>
      <c r="K26" s="2284"/>
      <c r="L26" s="1119"/>
    </row>
    <row r="27" spans="2:12" x14ac:dyDescent="0.25">
      <c r="B27" s="1124"/>
      <c r="C27" s="1074"/>
      <c r="D27" s="261" t="s">
        <v>179</v>
      </c>
      <c r="E27" s="261"/>
      <c r="F27" s="261"/>
      <c r="G27" s="261"/>
      <c r="H27" s="262"/>
      <c r="I27" s="107">
        <f>'6A - 9%'!K32</f>
        <v>0</v>
      </c>
      <c r="J27" s="2283"/>
      <c r="K27" s="2284"/>
      <c r="L27" s="1119"/>
    </row>
    <row r="28" spans="2:12" x14ac:dyDescent="0.25">
      <c r="B28" s="1124"/>
      <c r="C28" s="1074"/>
      <c r="D28" s="261" t="s">
        <v>180</v>
      </c>
      <c r="E28" s="261"/>
      <c r="F28" s="261"/>
      <c r="G28" s="261"/>
      <c r="H28" s="262"/>
      <c r="I28" s="107">
        <f>'6A - 9%'!K33</f>
        <v>0</v>
      </c>
      <c r="J28" s="2283"/>
      <c r="K28" s="2284"/>
      <c r="L28" s="1119"/>
    </row>
    <row r="29" spans="2:12" x14ac:dyDescent="0.25">
      <c r="B29" s="1124"/>
      <c r="C29" s="1074"/>
      <c r="D29" s="261" t="s">
        <v>181</v>
      </c>
      <c r="E29" s="261"/>
      <c r="F29" s="261"/>
      <c r="G29" s="261"/>
      <c r="H29" s="262"/>
      <c r="I29" s="107">
        <f>'6A - 9%'!K34</f>
        <v>543400</v>
      </c>
      <c r="J29" s="2283" t="s">
        <v>1627</v>
      </c>
      <c r="K29" s="2284"/>
      <c r="L29" s="1119"/>
    </row>
    <row r="30" spans="2:12" x14ac:dyDescent="0.25">
      <c r="B30" s="1124"/>
      <c r="C30" s="1074"/>
      <c r="D30" s="261" t="s">
        <v>182</v>
      </c>
      <c r="E30" s="261"/>
      <c r="F30" s="261"/>
      <c r="G30" s="261"/>
      <c r="H30" s="262"/>
      <c r="I30" s="107">
        <f>'6A - 9%'!K35</f>
        <v>0</v>
      </c>
      <c r="J30" s="2283"/>
      <c r="K30" s="2284"/>
      <c r="L30" s="1119"/>
    </row>
    <row r="31" spans="2:12" x14ac:dyDescent="0.25">
      <c r="B31" s="1124"/>
      <c r="C31" s="1074"/>
      <c r="D31" s="261" t="s">
        <v>183</v>
      </c>
      <c r="E31" s="261"/>
      <c r="F31" s="261"/>
      <c r="G31" s="261"/>
      <c r="H31" s="262"/>
      <c r="I31" s="107">
        <f>'6A - 9%'!K36</f>
        <v>0</v>
      </c>
      <c r="J31" s="2283"/>
      <c r="K31" s="2284"/>
      <c r="L31" s="1119"/>
    </row>
    <row r="32" spans="2:12" x14ac:dyDescent="0.25">
      <c r="B32" s="1124"/>
      <c r="C32" s="1074"/>
      <c r="D32" s="261" t="s">
        <v>184</v>
      </c>
      <c r="E32" s="261"/>
      <c r="F32" s="261"/>
      <c r="G32" s="261"/>
      <c r="H32" s="262"/>
      <c r="I32" s="107">
        <f>'6A - 9%'!K37</f>
        <v>48986</v>
      </c>
      <c r="J32" s="2283" t="s">
        <v>1628</v>
      </c>
      <c r="K32" s="2284"/>
      <c r="L32" s="1119"/>
    </row>
    <row r="33" spans="2:12" x14ac:dyDescent="0.25">
      <c r="B33" s="1124"/>
      <c r="C33" s="1074"/>
      <c r="D33" s="261" t="s">
        <v>185</v>
      </c>
      <c r="E33" s="261"/>
      <c r="F33" s="261"/>
      <c r="G33" s="261"/>
      <c r="H33" s="262"/>
      <c r="I33" s="107">
        <f>'6A - 9%'!K38</f>
        <v>0</v>
      </c>
      <c r="J33" s="2283"/>
      <c r="K33" s="2284"/>
      <c r="L33" s="1119"/>
    </row>
    <row r="34" spans="2:12" x14ac:dyDescent="0.25">
      <c r="B34" s="1124"/>
      <c r="C34" s="1074"/>
      <c r="D34" s="261" t="s">
        <v>186</v>
      </c>
      <c r="E34" s="261"/>
      <c r="F34" s="261"/>
      <c r="G34" s="261"/>
      <c r="H34" s="262"/>
      <c r="I34" s="107">
        <f>'6A - 9%'!K39</f>
        <v>0</v>
      </c>
      <c r="J34" s="2283"/>
      <c r="K34" s="2284"/>
      <c r="L34" s="1119"/>
    </row>
    <row r="35" spans="2:12" x14ac:dyDescent="0.25">
      <c r="B35" s="1124"/>
      <c r="C35" s="1074"/>
      <c r="D35" s="261" t="s">
        <v>187</v>
      </c>
      <c r="E35" s="261"/>
      <c r="F35" s="261"/>
      <c r="G35" s="261"/>
      <c r="H35" s="262"/>
      <c r="I35" s="107">
        <f>'6A - 9%'!K40</f>
        <v>0</v>
      </c>
      <c r="J35" s="2283"/>
      <c r="K35" s="2284"/>
      <c r="L35" s="1119"/>
    </row>
    <row r="36" spans="2:12" x14ac:dyDescent="0.25">
      <c r="B36" s="1124"/>
      <c r="C36" s="1074"/>
      <c r="D36" s="261" t="s">
        <v>188</v>
      </c>
      <c r="E36" s="261"/>
      <c r="F36" s="261"/>
      <c r="G36" s="261"/>
      <c r="H36" s="262"/>
      <c r="I36" s="107">
        <f>'6A - 9%'!K41</f>
        <v>951942</v>
      </c>
      <c r="J36" s="2283" t="s">
        <v>1629</v>
      </c>
      <c r="K36" s="2284"/>
      <c r="L36" s="1119"/>
    </row>
    <row r="37" spans="2:12" x14ac:dyDescent="0.25">
      <c r="B37" s="1124"/>
      <c r="C37" s="1074"/>
      <c r="D37" s="261" t="s">
        <v>189</v>
      </c>
      <c r="E37" s="261"/>
      <c r="F37" s="261"/>
      <c r="G37" s="261"/>
      <c r="H37" s="262"/>
      <c r="I37" s="107">
        <f>'6A - 9%'!K42</f>
        <v>56322</v>
      </c>
      <c r="J37" s="2283" t="s">
        <v>1659</v>
      </c>
      <c r="K37" s="2284"/>
      <c r="L37" s="1119"/>
    </row>
    <row r="38" spans="2:12" x14ac:dyDescent="0.25">
      <c r="B38" s="1124"/>
      <c r="C38" s="1074"/>
      <c r="D38" s="261" t="s">
        <v>190</v>
      </c>
      <c r="E38" s="261"/>
      <c r="F38" s="261"/>
      <c r="G38" s="261"/>
      <c r="H38" s="262"/>
      <c r="I38" s="107">
        <f>'6A - 9%'!K43</f>
        <v>23947</v>
      </c>
      <c r="J38" s="2283" t="s">
        <v>1628</v>
      </c>
      <c r="K38" s="2284"/>
      <c r="L38" s="1119"/>
    </row>
    <row r="39" spans="2:12" ht="15.75" thickBot="1" x14ac:dyDescent="0.3">
      <c r="B39" s="1124"/>
      <c r="C39" s="1074"/>
      <c r="D39" s="261" t="s">
        <v>248</v>
      </c>
      <c r="E39" s="261"/>
      <c r="F39" s="261"/>
      <c r="G39" s="261"/>
      <c r="H39" s="262"/>
      <c r="I39" s="108">
        <f>'6A - 9%'!K44</f>
        <v>0</v>
      </c>
      <c r="J39" s="2285"/>
      <c r="K39" s="2286"/>
      <c r="L39" s="1119"/>
    </row>
    <row r="40" spans="2:12" ht="3.75" customHeight="1" x14ac:dyDescent="0.25">
      <c r="B40" s="1124"/>
      <c r="C40" s="112"/>
      <c r="D40" s="113"/>
      <c r="E40" s="113"/>
      <c r="F40" s="109"/>
      <c r="G40" s="109"/>
      <c r="H40" s="109"/>
      <c r="I40" s="102"/>
      <c r="J40" s="102"/>
      <c r="K40" s="1120"/>
      <c r="L40" s="1119"/>
    </row>
    <row r="41" spans="2:12" ht="15.75" thickBot="1" x14ac:dyDescent="0.3">
      <c r="B41" s="1124"/>
      <c r="C41" s="125" t="s">
        <v>191</v>
      </c>
      <c r="D41" s="126"/>
      <c r="E41" s="126"/>
      <c r="F41" s="127"/>
      <c r="G41" s="127"/>
      <c r="H41" s="127"/>
      <c r="I41" s="102"/>
      <c r="J41" s="102"/>
      <c r="K41" s="1074"/>
      <c r="L41" s="1119"/>
    </row>
    <row r="42" spans="2:12" x14ac:dyDescent="0.25">
      <c r="B42" s="1124"/>
      <c r="C42" s="1074"/>
      <c r="D42" s="259" t="s">
        <v>192</v>
      </c>
      <c r="E42" s="259"/>
      <c r="F42" s="259"/>
      <c r="G42" s="259"/>
      <c r="H42" s="260"/>
      <c r="I42" s="764">
        <f>'6A - 9%'!K48</f>
        <v>4703</v>
      </c>
      <c r="J42" s="2287" t="s">
        <v>1628</v>
      </c>
      <c r="K42" s="2288"/>
      <c r="L42" s="1119"/>
    </row>
    <row r="43" spans="2:12" x14ac:dyDescent="0.25">
      <c r="B43" s="1124"/>
      <c r="C43" s="1074"/>
      <c r="D43" s="261" t="s">
        <v>193</v>
      </c>
      <c r="E43" s="261"/>
      <c r="F43" s="261"/>
      <c r="G43" s="261"/>
      <c r="H43" s="262"/>
      <c r="I43" s="107">
        <f>'6A - 9%'!K49</f>
        <v>2395</v>
      </c>
      <c r="J43" s="2283" t="s">
        <v>1630</v>
      </c>
      <c r="K43" s="2284"/>
      <c r="L43" s="1119"/>
    </row>
    <row r="44" spans="2:12" ht="21" customHeight="1" x14ac:dyDescent="0.25">
      <c r="B44" s="1124"/>
      <c r="C44" s="1074"/>
      <c r="D44" s="261" t="s">
        <v>194</v>
      </c>
      <c r="E44" s="261"/>
      <c r="F44" s="261"/>
      <c r="G44" s="261"/>
      <c r="H44" s="262"/>
      <c r="I44" s="107">
        <f>'6A - 9%'!K50</f>
        <v>491819</v>
      </c>
      <c r="J44" s="2291" t="s">
        <v>1651</v>
      </c>
      <c r="K44" s="2292"/>
      <c r="L44" s="1119"/>
    </row>
    <row r="45" spans="2:12" x14ac:dyDescent="0.25">
      <c r="B45" s="1124"/>
      <c r="C45" s="1074"/>
      <c r="D45" s="261" t="s">
        <v>195</v>
      </c>
      <c r="E45" s="261"/>
      <c r="F45" s="261"/>
      <c r="G45" s="261"/>
      <c r="H45" s="262"/>
      <c r="I45" s="107">
        <f>'6A - 9%'!K51</f>
        <v>0</v>
      </c>
      <c r="J45" s="2283"/>
      <c r="K45" s="2284"/>
      <c r="L45" s="1119"/>
    </row>
    <row r="46" spans="2:12" x14ac:dyDescent="0.25">
      <c r="B46" s="1124"/>
      <c r="C46" s="1074"/>
      <c r="D46" s="261" t="s">
        <v>196</v>
      </c>
      <c r="E46" s="261"/>
      <c r="F46" s="261"/>
      <c r="G46" s="261"/>
      <c r="H46" s="262"/>
      <c r="I46" s="107">
        <f>'6A - 9%'!K52</f>
        <v>3135</v>
      </c>
      <c r="J46" s="2283" t="s">
        <v>1631</v>
      </c>
      <c r="K46" s="2284"/>
      <c r="L46" s="1119"/>
    </row>
    <row r="47" spans="2:12" x14ac:dyDescent="0.25">
      <c r="B47" s="1124"/>
      <c r="C47" s="1074"/>
      <c r="D47" s="261" t="s">
        <v>197</v>
      </c>
      <c r="E47" s="261"/>
      <c r="F47" s="261"/>
      <c r="G47" s="261"/>
      <c r="H47" s="262"/>
      <c r="I47" s="107">
        <f>'6A - 9%'!K53</f>
        <v>10426</v>
      </c>
      <c r="J47" s="2283" t="s">
        <v>1632</v>
      </c>
      <c r="K47" s="2284"/>
      <c r="L47" s="1119"/>
    </row>
    <row r="48" spans="2:12" x14ac:dyDescent="0.25">
      <c r="B48" s="1124"/>
      <c r="C48" s="1074"/>
      <c r="D48" s="261" t="s">
        <v>198</v>
      </c>
      <c r="E48" s="261"/>
      <c r="F48" s="261"/>
      <c r="G48" s="261"/>
      <c r="H48" s="262"/>
      <c r="I48" s="107">
        <f>'6A - 9%'!K54</f>
        <v>14794</v>
      </c>
      <c r="J48" s="2283" t="s">
        <v>1633</v>
      </c>
      <c r="K48" s="2284"/>
      <c r="L48" s="1119"/>
    </row>
    <row r="49" spans="2:12" x14ac:dyDescent="0.25">
      <c r="B49" s="1124"/>
      <c r="C49" s="1074"/>
      <c r="D49" s="261" t="s">
        <v>199</v>
      </c>
      <c r="E49" s="261"/>
      <c r="F49" s="261"/>
      <c r="G49" s="261"/>
      <c r="H49" s="262"/>
      <c r="I49" s="107">
        <f>'6A - 9%'!K55</f>
        <v>70540</v>
      </c>
      <c r="J49" s="2283" t="s">
        <v>1634</v>
      </c>
      <c r="K49" s="2284"/>
      <c r="L49" s="1119"/>
    </row>
    <row r="50" spans="2:12" x14ac:dyDescent="0.25">
      <c r="B50" s="1124"/>
      <c r="C50" s="1074"/>
      <c r="D50" s="261" t="s">
        <v>200</v>
      </c>
      <c r="E50" s="261"/>
      <c r="F50" s="261"/>
      <c r="G50" s="261"/>
      <c r="H50" s="262"/>
      <c r="I50" s="107">
        <f>'6A - 9%'!K56</f>
        <v>667511</v>
      </c>
      <c r="J50" s="2283" t="s">
        <v>1635</v>
      </c>
      <c r="K50" s="2284"/>
      <c r="L50" s="1119"/>
    </row>
    <row r="51" spans="2:12" x14ac:dyDescent="0.25">
      <c r="B51" s="1124"/>
      <c r="C51" s="1074"/>
      <c r="D51" s="261" t="s">
        <v>201</v>
      </c>
      <c r="E51" s="261"/>
      <c r="F51" s="261"/>
      <c r="G51" s="261"/>
      <c r="H51" s="262"/>
      <c r="I51" s="107">
        <f>'6A - 9%'!K57</f>
        <v>94053</v>
      </c>
      <c r="J51" s="2283" t="s">
        <v>1636</v>
      </c>
      <c r="K51" s="2284"/>
      <c r="L51" s="1119"/>
    </row>
    <row r="52" spans="2:12" x14ac:dyDescent="0.25">
      <c r="B52" s="1124"/>
      <c r="C52" s="1074"/>
      <c r="D52" s="261" t="s">
        <v>202</v>
      </c>
      <c r="E52" s="261"/>
      <c r="F52" s="261"/>
      <c r="G52" s="261"/>
      <c r="H52" s="262"/>
      <c r="I52" s="107">
        <f>'6A - 9%'!K58</f>
        <v>28608</v>
      </c>
      <c r="J52" s="2283" t="s">
        <v>1637</v>
      </c>
      <c r="K52" s="2284"/>
      <c r="L52" s="1119"/>
    </row>
    <row r="53" spans="2:12" x14ac:dyDescent="0.25">
      <c r="B53" s="1124"/>
      <c r="C53" s="1126"/>
      <c r="D53" s="159" t="s">
        <v>203</v>
      </c>
      <c r="E53" s="159"/>
      <c r="F53" s="159"/>
      <c r="G53" s="159"/>
      <c r="H53" s="159"/>
      <c r="I53" s="107">
        <f>'6A - 9%'!K59</f>
        <v>47804</v>
      </c>
      <c r="J53" s="2283" t="s">
        <v>1628</v>
      </c>
      <c r="K53" s="2284"/>
      <c r="L53" s="1119"/>
    </row>
    <row r="54" spans="2:12" ht="15.75" thickBot="1" x14ac:dyDescent="0.3">
      <c r="B54" s="1124"/>
      <c r="C54" s="1074"/>
      <c r="D54" s="261" t="s">
        <v>247</v>
      </c>
      <c r="E54" s="261"/>
      <c r="F54" s="261"/>
      <c r="G54" s="261"/>
      <c r="H54" s="262"/>
      <c r="I54" s="108">
        <f>'6A - 9%'!K60</f>
        <v>33310</v>
      </c>
      <c r="J54" s="2285"/>
      <c r="K54" s="2286"/>
      <c r="L54" s="1119"/>
    </row>
    <row r="55" spans="2:12" ht="3.75" customHeight="1" x14ac:dyDescent="0.25">
      <c r="B55" s="1124"/>
      <c r="C55" s="112"/>
      <c r="D55" s="113"/>
      <c r="E55" s="113"/>
      <c r="F55" s="109"/>
      <c r="G55" s="109"/>
      <c r="H55" s="109"/>
      <c r="I55" s="102"/>
      <c r="J55" s="102"/>
      <c r="K55" s="1120"/>
      <c r="L55" s="1119"/>
    </row>
    <row r="56" spans="2:12" ht="15.75" thickBot="1" x14ac:dyDescent="0.3">
      <c r="B56" s="1124"/>
      <c r="C56" s="125" t="s">
        <v>204</v>
      </c>
      <c r="D56" s="126"/>
      <c r="E56" s="126"/>
      <c r="F56" s="127"/>
      <c r="G56" s="127"/>
      <c r="H56" s="127"/>
      <c r="I56" s="102"/>
      <c r="J56" s="102"/>
      <c r="K56" s="1074"/>
      <c r="L56" s="1119"/>
    </row>
    <row r="57" spans="2:12" x14ac:dyDescent="0.25">
      <c r="B57" s="1124"/>
      <c r="C57" s="1074"/>
      <c r="D57" s="259" t="s">
        <v>205</v>
      </c>
      <c r="E57" s="259"/>
      <c r="F57" s="259"/>
      <c r="G57" s="259"/>
      <c r="H57" s="260"/>
      <c r="I57" s="764">
        <f>'6A - 9%'!K64</f>
        <v>0</v>
      </c>
      <c r="J57" s="2287"/>
      <c r="K57" s="2288"/>
      <c r="L57" s="1119"/>
    </row>
    <row r="58" spans="2:12" ht="27" customHeight="1" thickBot="1" x14ac:dyDescent="0.3">
      <c r="B58" s="1124"/>
      <c r="C58" s="1074"/>
      <c r="D58" s="261" t="s">
        <v>206</v>
      </c>
      <c r="E58" s="261"/>
      <c r="F58" s="261"/>
      <c r="G58" s="261"/>
      <c r="H58" s="262"/>
      <c r="I58" s="108">
        <f>'6A - 9%'!K65</f>
        <v>39189</v>
      </c>
      <c r="J58" s="2289" t="s">
        <v>1645</v>
      </c>
      <c r="K58" s="2290"/>
      <c r="L58" s="1119"/>
    </row>
    <row r="59" spans="2:12" ht="9" customHeight="1" thickBot="1" x14ac:dyDescent="0.3">
      <c r="B59" s="1127"/>
      <c r="C59" s="122"/>
      <c r="D59" s="123"/>
      <c r="E59" s="123"/>
      <c r="F59" s="122"/>
      <c r="G59" s="122"/>
      <c r="H59" s="122"/>
      <c r="I59" s="104"/>
      <c r="J59" s="104"/>
      <c r="K59" s="1128"/>
      <c r="L59" s="1129"/>
    </row>
    <row r="60" spans="2:12" ht="15.75" thickBot="1" x14ac:dyDescent="0.3">
      <c r="B60" s="1124"/>
      <c r="C60" s="125" t="s">
        <v>207</v>
      </c>
      <c r="D60" s="126"/>
      <c r="E60" s="126"/>
      <c r="F60" s="127"/>
      <c r="G60" s="127"/>
      <c r="H60" s="127"/>
      <c r="I60" s="102"/>
      <c r="J60" s="102"/>
      <c r="K60" s="1074"/>
      <c r="L60" s="1119"/>
    </row>
    <row r="61" spans="2:12" x14ac:dyDescent="0.25">
      <c r="B61" s="1124"/>
      <c r="C61" s="1074"/>
      <c r="D61" s="259" t="s">
        <v>208</v>
      </c>
      <c r="E61" s="259"/>
      <c r="F61" s="259"/>
      <c r="G61" s="259"/>
      <c r="H61" s="260"/>
      <c r="I61" s="764">
        <f>'6A - 9%'!K69</f>
        <v>35000</v>
      </c>
      <c r="J61" s="2287" t="s">
        <v>1626</v>
      </c>
      <c r="K61" s="2288"/>
      <c r="L61" s="1130"/>
    </row>
    <row r="62" spans="2:12" x14ac:dyDescent="0.25">
      <c r="B62" s="1124"/>
      <c r="C62" s="1074"/>
      <c r="D62" s="261" t="s">
        <v>209</v>
      </c>
      <c r="E62" s="261"/>
      <c r="F62" s="261"/>
      <c r="G62" s="261"/>
      <c r="H62" s="262"/>
      <c r="I62" s="107">
        <f>'6A - 9%'!K70</f>
        <v>0</v>
      </c>
      <c r="J62" s="2283"/>
      <c r="K62" s="2284"/>
      <c r="L62" s="1119"/>
    </row>
    <row r="63" spans="2:12" x14ac:dyDescent="0.25">
      <c r="B63" s="1124"/>
      <c r="C63" s="1074"/>
      <c r="D63" s="261" t="s">
        <v>210</v>
      </c>
      <c r="E63" s="261"/>
      <c r="F63" s="261"/>
      <c r="G63" s="261"/>
      <c r="H63" s="262"/>
      <c r="I63" s="107">
        <f>'6A - 9%'!K71</f>
        <v>19000</v>
      </c>
      <c r="J63" s="2283" t="s">
        <v>1626</v>
      </c>
      <c r="K63" s="2284"/>
      <c r="L63" s="1119"/>
    </row>
    <row r="64" spans="2:12" x14ac:dyDescent="0.25">
      <c r="B64" s="1124"/>
      <c r="C64" s="1074"/>
      <c r="D64" s="261" t="s">
        <v>211</v>
      </c>
      <c r="E64" s="261"/>
      <c r="F64" s="261"/>
      <c r="G64" s="261"/>
      <c r="H64" s="262"/>
      <c r="I64" s="107">
        <f>'6A - 9%'!K72</f>
        <v>350000</v>
      </c>
      <c r="J64" s="2283" t="s">
        <v>1626</v>
      </c>
      <c r="K64" s="2284"/>
      <c r="L64" s="1119"/>
    </row>
    <row r="65" spans="2:12" ht="15.75" thickBot="1" x14ac:dyDescent="0.3">
      <c r="B65" s="1124"/>
      <c r="C65" s="1074"/>
      <c r="D65" s="261" t="s">
        <v>212</v>
      </c>
      <c r="E65" s="261"/>
      <c r="F65" s="261"/>
      <c r="G65" s="261"/>
      <c r="H65" s="262"/>
      <c r="I65" s="108">
        <f>'6A - 9%'!K73</f>
        <v>48986</v>
      </c>
      <c r="J65" s="2285" t="s">
        <v>1638</v>
      </c>
      <c r="K65" s="2286"/>
      <c r="L65" s="1119"/>
    </row>
    <row r="66" spans="2:12" ht="4.5" customHeight="1" x14ac:dyDescent="0.25">
      <c r="B66" s="1124"/>
      <c r="C66" s="109"/>
      <c r="D66" s="113"/>
      <c r="E66" s="113"/>
      <c r="F66" s="109"/>
      <c r="G66" s="109"/>
      <c r="H66" s="109"/>
      <c r="I66" s="102"/>
      <c r="J66" s="102"/>
      <c r="K66" s="1120"/>
      <c r="L66" s="1119"/>
    </row>
    <row r="67" spans="2:12" ht="15.75" thickBot="1" x14ac:dyDescent="0.3">
      <c r="B67" s="1124"/>
      <c r="C67" s="125" t="s">
        <v>213</v>
      </c>
      <c r="D67" s="126"/>
      <c r="E67" s="126"/>
      <c r="F67" s="127"/>
      <c r="G67" s="127"/>
      <c r="H67" s="127"/>
      <c r="I67" s="102"/>
      <c r="J67" s="102"/>
      <c r="K67" s="1074"/>
      <c r="L67" s="1119"/>
    </row>
    <row r="68" spans="2:12" x14ac:dyDescent="0.25">
      <c r="B68" s="1124"/>
      <c r="C68" s="1074"/>
      <c r="D68" s="259" t="s">
        <v>214</v>
      </c>
      <c r="E68" s="259"/>
      <c r="F68" s="259"/>
      <c r="G68" s="259"/>
      <c r="H68" s="260"/>
      <c r="I68" s="764">
        <f>'6A - 9%'!K77</f>
        <v>15000</v>
      </c>
      <c r="J68" s="2287" t="s">
        <v>1626</v>
      </c>
      <c r="K68" s="2288"/>
      <c r="L68" s="1119"/>
    </row>
    <row r="69" spans="2:12" x14ac:dyDescent="0.25">
      <c r="B69" s="1124"/>
      <c r="C69" s="1074"/>
      <c r="D69" s="261" t="s">
        <v>215</v>
      </c>
      <c r="E69" s="261"/>
      <c r="F69" s="261"/>
      <c r="G69" s="261"/>
      <c r="H69" s="262"/>
      <c r="I69" s="107">
        <f>'6A - 9%'!K78</f>
        <v>0</v>
      </c>
      <c r="J69" s="2283"/>
      <c r="K69" s="2284"/>
      <c r="L69" s="1119"/>
    </row>
    <row r="70" spans="2:12" x14ac:dyDescent="0.25">
      <c r="B70" s="1124"/>
      <c r="C70" s="1074"/>
      <c r="D70" s="261" t="s">
        <v>216</v>
      </c>
      <c r="E70" s="261"/>
      <c r="F70" s="261"/>
      <c r="G70" s="261"/>
      <c r="H70" s="262"/>
      <c r="I70" s="107">
        <f>'6A - 9%'!K79</f>
        <v>19000</v>
      </c>
      <c r="J70" s="2283" t="s">
        <v>1626</v>
      </c>
      <c r="K70" s="2284"/>
      <c r="L70" s="1119"/>
    </row>
    <row r="71" spans="2:12" x14ac:dyDescent="0.25">
      <c r="B71" s="1124"/>
      <c r="C71" s="1074"/>
      <c r="D71" s="261" t="s">
        <v>217</v>
      </c>
      <c r="E71" s="261"/>
      <c r="F71" s="261"/>
      <c r="G71" s="261"/>
      <c r="H71" s="262"/>
      <c r="I71" s="107">
        <f>'6A - 9%'!K80</f>
        <v>116076</v>
      </c>
      <c r="J71" s="2283" t="s">
        <v>1653</v>
      </c>
      <c r="K71" s="2284"/>
      <c r="L71" s="1119"/>
    </row>
    <row r="72" spans="2:12" x14ac:dyDescent="0.25">
      <c r="B72" s="1124"/>
      <c r="C72" s="1074"/>
      <c r="D72" s="261" t="s">
        <v>218</v>
      </c>
      <c r="E72" s="261"/>
      <c r="F72" s="261"/>
      <c r="G72" s="261"/>
      <c r="H72" s="262"/>
      <c r="I72" s="107">
        <f>'6A - 9%'!K81</f>
        <v>23947</v>
      </c>
      <c r="J72" s="2283" t="s">
        <v>1626</v>
      </c>
      <c r="K72" s="2284"/>
      <c r="L72" s="1119"/>
    </row>
    <row r="73" spans="2:12" x14ac:dyDescent="0.25">
      <c r="B73" s="1124"/>
      <c r="C73" s="1074"/>
      <c r="D73" s="261" t="s">
        <v>219</v>
      </c>
      <c r="E73" s="261"/>
      <c r="F73" s="261"/>
      <c r="G73" s="261"/>
      <c r="H73" s="262"/>
      <c r="I73" s="107">
        <f>'6A - 9%'!K82</f>
        <v>0</v>
      </c>
      <c r="J73" s="2283"/>
      <c r="K73" s="2284"/>
      <c r="L73" s="1119"/>
    </row>
    <row r="74" spans="2:12" x14ac:dyDescent="0.25">
      <c r="B74" s="1124"/>
      <c r="C74" s="1074"/>
      <c r="D74" s="261" t="s">
        <v>220</v>
      </c>
      <c r="E74" s="261"/>
      <c r="F74" s="261"/>
      <c r="G74" s="261"/>
      <c r="H74" s="262"/>
      <c r="I74" s="107">
        <f>'6A - 9%'!K83</f>
        <v>0</v>
      </c>
      <c r="J74" s="2283"/>
      <c r="K74" s="2284"/>
      <c r="L74" s="1119"/>
    </row>
    <row r="75" spans="2:12" ht="15.75" thickBot="1" x14ac:dyDescent="0.3">
      <c r="B75" s="1124"/>
      <c r="C75" s="1074"/>
      <c r="D75" s="261" t="s">
        <v>247</v>
      </c>
      <c r="E75" s="261"/>
      <c r="F75" s="261"/>
      <c r="G75" s="261"/>
      <c r="H75" s="262"/>
      <c r="I75" s="108">
        <f>'6A - 9%'!K84</f>
        <v>22075</v>
      </c>
      <c r="J75" s="2285" t="s">
        <v>1643</v>
      </c>
      <c r="K75" s="2286"/>
      <c r="L75" s="1119"/>
    </row>
    <row r="76" spans="2:12" ht="3.75" customHeight="1" x14ac:dyDescent="0.25">
      <c r="B76" s="1124"/>
      <c r="C76" s="112"/>
      <c r="D76" s="113"/>
      <c r="E76" s="113"/>
      <c r="F76" s="109"/>
      <c r="G76" s="109"/>
      <c r="H76" s="109"/>
      <c r="I76" s="102"/>
      <c r="J76" s="102"/>
      <c r="K76" s="1120"/>
      <c r="L76" s="1119"/>
    </row>
    <row r="77" spans="2:12" ht="15.75" thickBot="1" x14ac:dyDescent="0.3">
      <c r="B77" s="1124"/>
      <c r="C77" s="125" t="s">
        <v>221</v>
      </c>
      <c r="D77" s="126"/>
      <c r="E77" s="126"/>
      <c r="F77" s="127"/>
      <c r="G77" s="127"/>
      <c r="H77" s="127"/>
      <c r="I77" s="105"/>
      <c r="J77" s="272"/>
      <c r="K77" s="897"/>
      <c r="L77" s="1119"/>
    </row>
    <row r="78" spans="2:12" ht="24.75" customHeight="1" x14ac:dyDescent="0.25">
      <c r="B78" s="1124"/>
      <c r="C78" s="1074"/>
      <c r="D78" s="259" t="s">
        <v>222</v>
      </c>
      <c r="E78" s="259"/>
      <c r="F78" s="259"/>
      <c r="G78" s="259"/>
      <c r="H78" s="260"/>
      <c r="I78" s="764">
        <f>'6A - 9%'!K88</f>
        <v>280000</v>
      </c>
      <c r="J78" s="2298" t="s">
        <v>1623</v>
      </c>
      <c r="K78" s="2299"/>
      <c r="L78" s="1119"/>
    </row>
    <row r="79" spans="2:12" x14ac:dyDescent="0.25">
      <c r="B79" s="1124"/>
      <c r="C79" s="1074"/>
      <c r="D79" s="261" t="s">
        <v>223</v>
      </c>
      <c r="E79" s="261"/>
      <c r="F79" s="261"/>
      <c r="G79" s="261"/>
      <c r="H79" s="262"/>
      <c r="I79" s="107">
        <f>'6A - 9%'!K89</f>
        <v>18550</v>
      </c>
      <c r="J79" s="2283" t="s">
        <v>1624</v>
      </c>
      <c r="K79" s="2284"/>
      <c r="L79" s="1119"/>
    </row>
    <row r="80" spans="2:12" ht="15.75" thickBot="1" x14ac:dyDescent="0.3">
      <c r="B80" s="1124"/>
      <c r="C80" s="1074"/>
      <c r="D80" s="261" t="s">
        <v>249</v>
      </c>
      <c r="E80" s="261"/>
      <c r="F80" s="261"/>
      <c r="G80" s="261"/>
      <c r="H80" s="262"/>
      <c r="I80" s="108">
        <f>'6A - 9%'!K90</f>
        <v>0</v>
      </c>
      <c r="J80" s="2285"/>
      <c r="K80" s="2286"/>
      <c r="L80" s="1119"/>
    </row>
    <row r="81" spans="2:12" ht="3.75" customHeight="1" x14ac:dyDescent="0.25">
      <c r="B81" s="1124"/>
      <c r="C81" s="112"/>
      <c r="D81" s="113"/>
      <c r="E81" s="113"/>
      <c r="F81" s="109"/>
      <c r="G81" s="109"/>
      <c r="H81" s="109"/>
      <c r="I81" s="102"/>
      <c r="J81" s="102"/>
      <c r="K81" s="1120"/>
      <c r="L81" s="1119"/>
    </row>
    <row r="82" spans="2:12" ht="15.75" thickBot="1" x14ac:dyDescent="0.3">
      <c r="B82" s="1124"/>
      <c r="C82" s="125" t="s">
        <v>224</v>
      </c>
      <c r="D82" s="126"/>
      <c r="E82" s="126"/>
      <c r="F82" s="127"/>
      <c r="G82" s="127"/>
      <c r="H82" s="127"/>
      <c r="I82" s="105"/>
      <c r="J82" s="272"/>
      <c r="K82" s="897"/>
      <c r="L82" s="1119"/>
    </row>
    <row r="83" spans="2:12" x14ac:dyDescent="0.25">
      <c r="B83" s="1124"/>
      <c r="C83" s="1074"/>
      <c r="D83" s="259" t="s">
        <v>225</v>
      </c>
      <c r="E83" s="259"/>
      <c r="F83" s="259"/>
      <c r="G83" s="259"/>
      <c r="H83" s="260"/>
      <c r="I83" s="764">
        <f>'6A - 9%'!K94</f>
        <v>0</v>
      </c>
      <c r="J83" s="2287"/>
      <c r="K83" s="2288"/>
      <c r="L83" s="1119"/>
    </row>
    <row r="84" spans="2:12" x14ac:dyDescent="0.25">
      <c r="B84" s="1124"/>
      <c r="C84" s="1074"/>
      <c r="D84" s="261" t="s">
        <v>226</v>
      </c>
      <c r="E84" s="261"/>
      <c r="F84" s="261"/>
      <c r="G84" s="261"/>
      <c r="H84" s="262"/>
      <c r="I84" s="107">
        <f>'6A - 9%'!K95</f>
        <v>30371</v>
      </c>
      <c r="J84" s="2283" t="s">
        <v>1660</v>
      </c>
      <c r="K84" s="2284"/>
      <c r="L84" s="1119"/>
    </row>
    <row r="85" spans="2:12" x14ac:dyDescent="0.25">
      <c r="B85" s="1124"/>
      <c r="C85" s="1074"/>
      <c r="D85" s="261" t="s">
        <v>118</v>
      </c>
      <c r="E85" s="261"/>
      <c r="F85" s="261"/>
      <c r="G85" s="261"/>
      <c r="H85" s="262"/>
      <c r="I85" s="107">
        <f>'6A - 9%'!K96</f>
        <v>78378</v>
      </c>
      <c r="J85" s="2283" t="s">
        <v>1650</v>
      </c>
      <c r="K85" s="2284"/>
      <c r="L85" s="1119"/>
    </row>
    <row r="86" spans="2:12" x14ac:dyDescent="0.25">
      <c r="B86" s="1124"/>
      <c r="C86" s="1074"/>
      <c r="D86" s="261" t="s">
        <v>227</v>
      </c>
      <c r="E86" s="261"/>
      <c r="F86" s="261"/>
      <c r="G86" s="261"/>
      <c r="H86" s="262"/>
      <c r="I86" s="107">
        <f>'6A - 9%'!K97</f>
        <v>0</v>
      </c>
      <c r="J86" s="2283"/>
      <c r="K86" s="2284"/>
      <c r="L86" s="1119"/>
    </row>
    <row r="87" spans="2:12" x14ac:dyDescent="0.25">
      <c r="B87" s="1124"/>
      <c r="C87" s="1074"/>
      <c r="D87" s="261" t="s">
        <v>228</v>
      </c>
      <c r="E87" s="261"/>
      <c r="F87" s="261"/>
      <c r="G87" s="261"/>
      <c r="H87" s="262"/>
      <c r="I87" s="107">
        <f>'6A - 9%'!K98</f>
        <v>544387</v>
      </c>
      <c r="J87" s="2283" t="s">
        <v>1640</v>
      </c>
      <c r="K87" s="2284"/>
      <c r="L87" s="1119"/>
    </row>
    <row r="88" spans="2:12" x14ac:dyDescent="0.25">
      <c r="B88" s="1124"/>
      <c r="C88" s="1074"/>
      <c r="D88" s="261" t="s">
        <v>229</v>
      </c>
      <c r="E88" s="261"/>
      <c r="F88" s="261"/>
      <c r="G88" s="261"/>
      <c r="H88" s="262"/>
      <c r="I88" s="107">
        <f>'6A - 9%'!K99</f>
        <v>0</v>
      </c>
      <c r="J88" s="2283"/>
      <c r="K88" s="2284"/>
      <c r="L88" s="1119"/>
    </row>
    <row r="89" spans="2:12" x14ac:dyDescent="0.25">
      <c r="B89" s="1124"/>
      <c r="C89" s="1074"/>
      <c r="D89" s="261" t="s">
        <v>230</v>
      </c>
      <c r="E89" s="261"/>
      <c r="F89" s="261"/>
      <c r="G89" s="261"/>
      <c r="H89" s="262"/>
      <c r="I89" s="107">
        <f>'6A - 9%'!K100</f>
        <v>0</v>
      </c>
      <c r="J89" s="2283"/>
      <c r="K89" s="2284"/>
      <c r="L89" s="1119"/>
    </row>
    <row r="90" spans="2:12" x14ac:dyDescent="0.25">
      <c r="B90" s="1124"/>
      <c r="C90" s="1074"/>
      <c r="D90" s="261" t="s">
        <v>231</v>
      </c>
      <c r="E90" s="261"/>
      <c r="F90" s="261"/>
      <c r="G90" s="261"/>
      <c r="H90" s="262"/>
      <c r="I90" s="107">
        <f>'6A - 9%'!K101</f>
        <v>0</v>
      </c>
      <c r="J90" s="2283"/>
      <c r="K90" s="2284"/>
      <c r="L90" s="1119"/>
    </row>
    <row r="91" spans="2:12" x14ac:dyDescent="0.25">
      <c r="B91" s="1124"/>
      <c r="C91" s="1074"/>
      <c r="D91" s="261" t="s">
        <v>232</v>
      </c>
      <c r="E91" s="261"/>
      <c r="F91" s="261"/>
      <c r="G91" s="261"/>
      <c r="H91" s="262"/>
      <c r="I91" s="107">
        <f>'6A - 9%'!K102</f>
        <v>4703</v>
      </c>
      <c r="J91" s="2283" t="s">
        <v>1641</v>
      </c>
      <c r="K91" s="2284"/>
      <c r="L91" s="1119"/>
    </row>
    <row r="92" spans="2:12" x14ac:dyDescent="0.25">
      <c r="B92" s="1124"/>
      <c r="C92" s="1074"/>
      <c r="D92" s="261" t="s">
        <v>233</v>
      </c>
      <c r="E92" s="261"/>
      <c r="F92" s="261"/>
      <c r="G92" s="261"/>
      <c r="H92" s="262"/>
      <c r="I92" s="107">
        <f>'6A - 9%'!K103</f>
        <v>7495</v>
      </c>
      <c r="J92" s="2283" t="s">
        <v>1642</v>
      </c>
      <c r="K92" s="2284"/>
      <c r="L92" s="1119"/>
    </row>
    <row r="93" spans="2:12" ht="15.75" thickBot="1" x14ac:dyDescent="0.3">
      <c r="B93" s="1124"/>
      <c r="C93" s="1074"/>
      <c r="D93" s="261" t="s">
        <v>234</v>
      </c>
      <c r="E93" s="261"/>
      <c r="F93" s="261"/>
      <c r="G93" s="261"/>
      <c r="H93" s="262"/>
      <c r="I93" s="108">
        <f>'6A - 9%'!K104</f>
        <v>0</v>
      </c>
      <c r="J93" s="2285"/>
      <c r="K93" s="2286"/>
      <c r="L93" s="1119"/>
    </row>
    <row r="94" spans="2:12" ht="3.75" customHeight="1" x14ac:dyDescent="0.25">
      <c r="B94" s="1124"/>
      <c r="C94" s="112"/>
      <c r="D94" s="113"/>
      <c r="E94" s="113"/>
      <c r="F94" s="109"/>
      <c r="G94" s="109"/>
      <c r="H94" s="109"/>
      <c r="I94" s="102"/>
      <c r="J94" s="102"/>
      <c r="K94" s="897"/>
      <c r="L94" s="1119"/>
    </row>
    <row r="95" spans="2:12" ht="15.75" thickBot="1" x14ac:dyDescent="0.3">
      <c r="B95" s="1124"/>
      <c r="C95" s="125" t="s">
        <v>235</v>
      </c>
      <c r="D95" s="126"/>
      <c r="E95" s="126"/>
      <c r="F95" s="127"/>
      <c r="G95" s="127"/>
      <c r="H95" s="127"/>
      <c r="I95" s="102"/>
      <c r="J95" s="102"/>
      <c r="K95" s="1125"/>
      <c r="L95" s="1131"/>
    </row>
    <row r="96" spans="2:12" x14ac:dyDescent="0.25">
      <c r="B96" s="1124"/>
      <c r="C96" s="1132"/>
      <c r="D96" s="259" t="s">
        <v>236</v>
      </c>
      <c r="E96" s="259"/>
      <c r="F96" s="259"/>
      <c r="G96" s="259"/>
      <c r="H96" s="260"/>
      <c r="I96" s="764">
        <f>'6A - 9%'!K109</f>
        <v>0</v>
      </c>
      <c r="J96" s="2287"/>
      <c r="K96" s="2288"/>
      <c r="L96" s="1131"/>
    </row>
    <row r="97" spans="2:12" x14ac:dyDescent="0.25">
      <c r="B97" s="1124"/>
      <c r="C97" s="1132"/>
      <c r="D97" s="261" t="s">
        <v>237</v>
      </c>
      <c r="E97" s="261"/>
      <c r="F97" s="261"/>
      <c r="G97" s="261"/>
      <c r="H97" s="262"/>
      <c r="I97" s="107">
        <f>'6A - 9%'!K110</f>
        <v>0</v>
      </c>
      <c r="J97" s="2283"/>
      <c r="K97" s="2284"/>
      <c r="L97" s="1131"/>
    </row>
    <row r="98" spans="2:12" x14ac:dyDescent="0.25">
      <c r="B98" s="1124"/>
      <c r="C98" s="1074"/>
      <c r="D98" s="261" t="s">
        <v>238</v>
      </c>
      <c r="E98" s="261"/>
      <c r="F98" s="261"/>
      <c r="G98" s="261"/>
      <c r="H98" s="262"/>
      <c r="I98" s="107">
        <f>'6A - 9%'!K111</f>
        <v>0</v>
      </c>
      <c r="J98" s="2283"/>
      <c r="K98" s="2284"/>
      <c r="L98" s="1119"/>
    </row>
    <row r="99" spans="2:12" x14ac:dyDescent="0.25">
      <c r="B99" s="1124"/>
      <c r="C99" s="1074"/>
      <c r="D99" s="261" t="s">
        <v>239</v>
      </c>
      <c r="E99" s="261"/>
      <c r="F99" s="261"/>
      <c r="G99" s="261"/>
      <c r="H99" s="262"/>
      <c r="I99" s="107">
        <f>'6A - 9%'!K112</f>
        <v>0</v>
      </c>
      <c r="J99" s="2283"/>
      <c r="K99" s="2284"/>
      <c r="L99" s="1119"/>
    </row>
    <row r="100" spans="2:12" x14ac:dyDescent="0.25">
      <c r="B100" s="1124"/>
      <c r="C100" s="1074"/>
      <c r="D100" s="261" t="s">
        <v>240</v>
      </c>
      <c r="E100" s="261"/>
      <c r="F100" s="261"/>
      <c r="G100" s="261"/>
      <c r="H100" s="262"/>
      <c r="I100" s="107">
        <f>'6A - 9%'!K113</f>
        <v>0</v>
      </c>
      <c r="J100" s="2283"/>
      <c r="K100" s="2284"/>
      <c r="L100" s="1119"/>
    </row>
    <row r="101" spans="2:12" x14ac:dyDescent="0.25">
      <c r="B101" s="1124"/>
      <c r="C101" s="1074"/>
      <c r="D101" s="261" t="s">
        <v>241</v>
      </c>
      <c r="E101" s="261"/>
      <c r="F101" s="261"/>
      <c r="G101" s="261"/>
      <c r="H101" s="262"/>
      <c r="I101" s="107">
        <f>'6A - 9%'!K114</f>
        <v>0</v>
      </c>
      <c r="J101" s="2283"/>
      <c r="K101" s="2284"/>
      <c r="L101" s="1119"/>
    </row>
    <row r="102" spans="2:12" ht="15.75" thickBot="1" x14ac:dyDescent="0.3">
      <c r="B102" s="1124"/>
      <c r="C102" s="1074"/>
      <c r="D102" s="261" t="s">
        <v>242</v>
      </c>
      <c r="E102" s="261"/>
      <c r="F102" s="261"/>
      <c r="G102" s="261"/>
      <c r="H102" s="262"/>
      <c r="I102" s="108">
        <f>'6A - 9%'!K115</f>
        <v>0</v>
      </c>
      <c r="J102" s="2285"/>
      <c r="K102" s="2286"/>
      <c r="L102" s="1119"/>
    </row>
    <row r="103" spans="2:12" ht="15.75" thickBot="1" x14ac:dyDescent="0.3">
      <c r="B103" s="1127"/>
      <c r="C103" s="100"/>
      <c r="D103" s="1133"/>
      <c r="E103" s="1133"/>
      <c r="F103" s="100"/>
      <c r="G103" s="100"/>
      <c r="H103" s="100"/>
      <c r="I103" s="101"/>
      <c r="J103" s="101"/>
      <c r="K103" s="1128"/>
      <c r="L103" s="1129"/>
    </row>
    <row r="104" spans="2:12" x14ac:dyDescent="0.25">
      <c r="I104" s="1114"/>
    </row>
  </sheetData>
  <sheetProtection password="9F6B" sheet="1" objects="1" scenarios="1" formatCells="0" formatColumns="0" formatRows="0"/>
  <mergeCells count="74">
    <mergeCell ref="J18:K18"/>
    <mergeCell ref="C7:K7"/>
    <mergeCell ref="I13:K13"/>
    <mergeCell ref="J14:K14"/>
    <mergeCell ref="J16:K16"/>
    <mergeCell ref="J17:K17"/>
    <mergeCell ref="J32:K32"/>
    <mergeCell ref="J19:K19"/>
    <mergeCell ref="J20:K20"/>
    <mergeCell ref="J21:K21"/>
    <mergeCell ref="J24:K24"/>
    <mergeCell ref="J25:K25"/>
    <mergeCell ref="J26:K26"/>
    <mergeCell ref="J27:K27"/>
    <mergeCell ref="J28:K28"/>
    <mergeCell ref="J29:K29"/>
    <mergeCell ref="J30:K30"/>
    <mergeCell ref="J31:K31"/>
    <mergeCell ref="J46:K46"/>
    <mergeCell ref="J33:K33"/>
    <mergeCell ref="J34:K34"/>
    <mergeCell ref="J35:K35"/>
    <mergeCell ref="J36:K36"/>
    <mergeCell ref="J37:K37"/>
    <mergeCell ref="J38:K38"/>
    <mergeCell ref="J39:K39"/>
    <mergeCell ref="J42:K42"/>
    <mergeCell ref="J43:K43"/>
    <mergeCell ref="J44:K44"/>
    <mergeCell ref="J45:K45"/>
    <mergeCell ref="J62:K62"/>
    <mergeCell ref="J47:K47"/>
    <mergeCell ref="J48:K48"/>
    <mergeCell ref="J49:K49"/>
    <mergeCell ref="J50:K50"/>
    <mergeCell ref="J51:K51"/>
    <mergeCell ref="J52:K52"/>
    <mergeCell ref="J53:K53"/>
    <mergeCell ref="J54:K54"/>
    <mergeCell ref="J57:K57"/>
    <mergeCell ref="J58:K58"/>
    <mergeCell ref="J61:K61"/>
    <mergeCell ref="J78:K78"/>
    <mergeCell ref="J63:K63"/>
    <mergeCell ref="J64:K64"/>
    <mergeCell ref="J65:K65"/>
    <mergeCell ref="J68:K68"/>
    <mergeCell ref="J69:K69"/>
    <mergeCell ref="J70:K70"/>
    <mergeCell ref="J71:K71"/>
    <mergeCell ref="J72:K72"/>
    <mergeCell ref="J73:K73"/>
    <mergeCell ref="J74:K74"/>
    <mergeCell ref="J75:K75"/>
    <mergeCell ref="J92:K92"/>
    <mergeCell ref="J79:K79"/>
    <mergeCell ref="J80:K80"/>
    <mergeCell ref="J83:K83"/>
    <mergeCell ref="J84:K84"/>
    <mergeCell ref="J85:K85"/>
    <mergeCell ref="J86:K86"/>
    <mergeCell ref="J87:K87"/>
    <mergeCell ref="J88:K88"/>
    <mergeCell ref="J89:K89"/>
    <mergeCell ref="J90:K90"/>
    <mergeCell ref="J91:K91"/>
    <mergeCell ref="J101:K101"/>
    <mergeCell ref="J102:K102"/>
    <mergeCell ref="J93:K93"/>
    <mergeCell ref="J96:K96"/>
    <mergeCell ref="J97:K97"/>
    <mergeCell ref="J98:K98"/>
    <mergeCell ref="J99:K99"/>
    <mergeCell ref="J100:K100"/>
  </mergeCells>
  <pageMargins left="0.25" right="0.25" top="0.75" bottom="0.75" header="0.3" footer="0.3"/>
  <pageSetup scale="86" fitToHeight="0" orientation="portrait" r:id="rId1"/>
  <headerFooter>
    <oddFooter>&amp;LForm 6B(b)
Development Budget Details&amp;CCFA Forms&amp;REdition: 2015
Version: 1.1</oddFooter>
  </headerFooter>
  <rowBreaks count="1" manualBreakCount="1">
    <brk id="59" min="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9:L125"/>
  <sheetViews>
    <sheetView showGridLines="0" zoomScaleNormal="100" workbookViewId="0">
      <selection activeCell="K108" sqref="K108"/>
    </sheetView>
  </sheetViews>
  <sheetFormatPr defaultRowHeight="15" x14ac:dyDescent="0.25"/>
  <cols>
    <col min="1" max="2" width="1.7109375" style="838" customWidth="1"/>
    <col min="3" max="3" width="2.85546875" style="838" customWidth="1"/>
    <col min="4" max="4" width="5.7109375" style="838" customWidth="1"/>
    <col min="5" max="5" width="8.5703125" style="838" customWidth="1"/>
    <col min="6" max="6" width="12.85546875" style="838" customWidth="1"/>
    <col min="7" max="7" width="10.7109375" style="838" customWidth="1"/>
    <col min="8" max="8" width="0.7109375" style="838" customWidth="1"/>
    <col min="9" max="9" width="16.5703125" style="838" customWidth="1"/>
    <col min="10" max="10" width="11.42578125" style="838" customWidth="1"/>
    <col min="11" max="11" width="12.140625" style="838" customWidth="1"/>
    <col min="12" max="12" width="1.7109375" style="838" customWidth="1"/>
    <col min="13" max="16384" width="9.140625" style="838"/>
  </cols>
  <sheetData>
    <row r="9" spans="2:12" ht="15.75" thickBot="1" x14ac:dyDescent="0.3"/>
    <row r="10" spans="2:12" x14ac:dyDescent="0.25">
      <c r="B10" s="1134"/>
      <c r="C10" s="1135"/>
      <c r="D10" s="1135"/>
      <c r="E10" s="1135"/>
      <c r="F10" s="1135"/>
      <c r="G10" s="1135"/>
      <c r="H10" s="1135"/>
      <c r="I10" s="1135"/>
      <c r="J10" s="1135"/>
      <c r="K10" s="1135"/>
      <c r="L10" s="1136"/>
    </row>
    <row r="11" spans="2:12" ht="18.75" x14ac:dyDescent="0.3">
      <c r="B11" s="1137"/>
      <c r="C11" s="2128" t="s">
        <v>1380</v>
      </c>
      <c r="D11" s="2128"/>
      <c r="E11" s="2128"/>
      <c r="F11" s="2128"/>
      <c r="G11" s="2128"/>
      <c r="H11" s="2128"/>
      <c r="I11" s="2128"/>
      <c r="J11" s="2128"/>
      <c r="K11" s="2128"/>
      <c r="L11" s="1138"/>
    </row>
    <row r="12" spans="2:12" x14ac:dyDescent="0.25">
      <c r="B12" s="1137"/>
      <c r="C12" s="897"/>
      <c r="D12" s="897"/>
      <c r="E12" s="897"/>
      <c r="F12" s="897"/>
      <c r="G12" s="897"/>
      <c r="H12" s="897"/>
      <c r="I12" s="897"/>
      <c r="J12" s="897"/>
      <c r="K12" s="897"/>
      <c r="L12" s="1138"/>
    </row>
    <row r="13" spans="2:12" x14ac:dyDescent="0.25">
      <c r="B13" s="1137"/>
      <c r="C13" s="814"/>
      <c r="D13" s="257" t="s">
        <v>59</v>
      </c>
      <c r="E13" s="1121"/>
      <c r="F13" s="2149" t="str">
        <f>IF('1A'!G5="","Enter Project Name on Form 1A",'1A'!G5)</f>
        <v>University District Apartments</v>
      </c>
      <c r="G13" s="2149"/>
      <c r="H13" s="2149"/>
      <c r="I13" s="2149"/>
      <c r="J13" s="2149"/>
      <c r="K13" s="2149"/>
      <c r="L13" s="1138"/>
    </row>
    <row r="14" spans="2:12" ht="3.75" customHeight="1" x14ac:dyDescent="0.25">
      <c r="B14" s="246"/>
      <c r="C14" s="897"/>
      <c r="D14" s="128"/>
      <c r="E14" s="128"/>
      <c r="F14" s="128"/>
      <c r="G14" s="128"/>
      <c r="H14" s="128"/>
      <c r="I14" s="128"/>
      <c r="J14" s="128"/>
      <c r="K14" s="897"/>
      <c r="L14" s="1138"/>
    </row>
    <row r="15" spans="2:12" x14ac:dyDescent="0.25">
      <c r="B15" s="1137"/>
      <c r="C15" s="814"/>
      <c r="D15" s="257" t="s">
        <v>1400</v>
      </c>
      <c r="E15" s="1121"/>
      <c r="F15" s="2149" t="str">
        <f>IF('1A'!G44="","Enter Site Name on Form 1A",'1A'!G44)</f>
        <v>Project B - 9%</v>
      </c>
      <c r="G15" s="2149"/>
      <c r="H15" s="2149"/>
      <c r="I15" s="2149"/>
      <c r="J15" s="2149"/>
      <c r="K15" s="2149"/>
      <c r="L15" s="1138"/>
    </row>
    <row r="16" spans="2:12" ht="7.5" customHeight="1" thickBot="1" x14ac:dyDescent="0.3">
      <c r="B16" s="246"/>
      <c r="C16" s="897"/>
      <c r="D16" s="128"/>
      <c r="E16" s="128"/>
      <c r="F16" s="128"/>
      <c r="G16" s="128"/>
      <c r="H16" s="128"/>
      <c r="I16" s="128"/>
      <c r="J16" s="128"/>
      <c r="K16" s="897"/>
      <c r="L16" s="1138"/>
    </row>
    <row r="17" spans="2:12" x14ac:dyDescent="0.25">
      <c r="B17" s="246"/>
      <c r="C17" s="133"/>
      <c r="D17" s="133"/>
      <c r="E17" s="133"/>
      <c r="F17" s="133"/>
      <c r="G17" s="133"/>
      <c r="H17" s="133"/>
      <c r="I17" s="2269" t="s">
        <v>164</v>
      </c>
      <c r="J17" s="2270"/>
      <c r="K17" s="2300"/>
      <c r="L17" s="1138"/>
    </row>
    <row r="18" spans="2:12" x14ac:dyDescent="0.25">
      <c r="B18" s="246"/>
      <c r="C18" s="133"/>
      <c r="D18" s="133"/>
      <c r="E18" s="133"/>
      <c r="F18" s="133"/>
      <c r="G18" s="133"/>
      <c r="H18" s="133"/>
      <c r="I18" s="2315" t="s">
        <v>250</v>
      </c>
      <c r="J18" s="2310" t="s">
        <v>251</v>
      </c>
      <c r="K18" s="2311"/>
      <c r="L18" s="1138"/>
    </row>
    <row r="19" spans="2:12" x14ac:dyDescent="0.25">
      <c r="B19" s="246"/>
      <c r="C19" s="134"/>
      <c r="D19" s="110"/>
      <c r="E19" s="110"/>
      <c r="F19" s="135"/>
      <c r="G19" s="135"/>
      <c r="H19" s="135"/>
      <c r="I19" s="2315"/>
      <c r="J19" s="2312" t="s">
        <v>23</v>
      </c>
      <c r="K19" s="2317" t="s">
        <v>649</v>
      </c>
      <c r="L19" s="1138"/>
    </row>
    <row r="20" spans="2:12" x14ac:dyDescent="0.25">
      <c r="B20" s="246"/>
      <c r="C20" s="110"/>
      <c r="D20" s="136"/>
      <c r="E20" s="136"/>
      <c r="F20" s="137"/>
      <c r="G20" s="137"/>
      <c r="H20" s="137"/>
      <c r="I20" s="2315"/>
      <c r="J20" s="2313"/>
      <c r="K20" s="2318"/>
      <c r="L20" s="1138"/>
    </row>
    <row r="21" spans="2:12" ht="15.75" thickBot="1" x14ac:dyDescent="0.3">
      <c r="B21" s="246"/>
      <c r="C21" s="110"/>
      <c r="D21" s="136"/>
      <c r="E21" s="136"/>
      <c r="F21" s="137"/>
      <c r="G21" s="137"/>
      <c r="H21" s="137"/>
      <c r="I21" s="2316"/>
      <c r="J21" s="2314"/>
      <c r="K21" s="2319"/>
      <c r="L21" s="1138"/>
    </row>
    <row r="22" spans="2:12" ht="15.75" thickBot="1" x14ac:dyDescent="0.3">
      <c r="B22" s="246"/>
      <c r="C22" s="125" t="s">
        <v>168</v>
      </c>
      <c r="D22" s="126"/>
      <c r="E22" s="126"/>
      <c r="F22" s="127"/>
      <c r="G22" s="127"/>
      <c r="H22" s="127"/>
      <c r="I22" s="149"/>
      <c r="J22" s="129"/>
      <c r="K22" s="897"/>
      <c r="L22" s="1138"/>
    </row>
    <row r="23" spans="2:12" x14ac:dyDescent="0.25">
      <c r="B23" s="246"/>
      <c r="C23" s="897"/>
      <c r="D23" s="159" t="s">
        <v>169</v>
      </c>
      <c r="E23" s="109"/>
      <c r="F23" s="110"/>
      <c r="G23" s="110"/>
      <c r="H23" s="110"/>
      <c r="I23" s="162">
        <f>'6A - 9%'!K20</f>
        <v>1567551</v>
      </c>
      <c r="J23" s="175"/>
      <c r="K23" s="176"/>
      <c r="L23" s="1138"/>
    </row>
    <row r="24" spans="2:12" x14ac:dyDescent="0.25">
      <c r="B24" s="246"/>
      <c r="C24" s="897"/>
      <c r="D24" s="159" t="s">
        <v>170</v>
      </c>
      <c r="E24" s="109"/>
      <c r="F24" s="110"/>
      <c r="G24" s="110"/>
      <c r="H24" s="110"/>
      <c r="I24" s="164">
        <f>'6A - 9%'!K21</f>
        <v>0</v>
      </c>
      <c r="J24" s="156"/>
      <c r="K24" s="177"/>
      <c r="L24" s="1138"/>
    </row>
    <row r="25" spans="2:12" x14ac:dyDescent="0.25">
      <c r="B25" s="246"/>
      <c r="C25" s="897"/>
      <c r="D25" s="158" t="s">
        <v>171</v>
      </c>
      <c r="E25" s="109"/>
      <c r="F25" s="111"/>
      <c r="G25" s="111"/>
      <c r="H25" s="111"/>
      <c r="I25" s="164">
        <f>'6A - 9%'!K22</f>
        <v>99931</v>
      </c>
      <c r="J25" s="156"/>
      <c r="K25" s="177"/>
      <c r="L25" s="1138"/>
    </row>
    <row r="26" spans="2:12" x14ac:dyDescent="0.25">
      <c r="B26" s="246"/>
      <c r="C26" s="897"/>
      <c r="D26" s="158" t="s">
        <v>172</v>
      </c>
      <c r="E26" s="109"/>
      <c r="F26" s="111"/>
      <c r="G26" s="111"/>
      <c r="H26" s="111"/>
      <c r="I26" s="164">
        <f>'6A - 9%'!K23</f>
        <v>15676</v>
      </c>
      <c r="J26" s="156"/>
      <c r="K26" s="177"/>
      <c r="L26" s="1138"/>
    </row>
    <row r="27" spans="2:12" x14ac:dyDescent="0.25">
      <c r="B27" s="246"/>
      <c r="C27" s="897"/>
      <c r="D27" s="148" t="s">
        <v>173</v>
      </c>
      <c r="E27" s="109"/>
      <c r="F27" s="111"/>
      <c r="G27" s="111"/>
      <c r="H27" s="111"/>
      <c r="I27" s="164">
        <f>'6A - 9%'!K24</f>
        <v>0</v>
      </c>
      <c r="J27" s="156"/>
      <c r="K27" s="177"/>
      <c r="L27" s="1138"/>
    </row>
    <row r="28" spans="2:12" x14ac:dyDescent="0.25">
      <c r="B28" s="246"/>
      <c r="C28" s="897"/>
      <c r="D28" s="115" t="s">
        <v>476</v>
      </c>
      <c r="E28" s="2320">
        <f>(IF(AND(I28&lt;&gt;0,'6A - 9%'!E25=""),"Enter Item on Form 6A",'6A - 9%'!E25))</f>
        <v>0</v>
      </c>
      <c r="F28" s="2321"/>
      <c r="G28" s="2322"/>
      <c r="H28" s="1140"/>
      <c r="I28" s="188">
        <f>'6A - 9%'!K25</f>
        <v>0</v>
      </c>
      <c r="J28" s="189"/>
      <c r="K28" s="190"/>
      <c r="L28" s="1138"/>
    </row>
    <row r="29" spans="2:12" ht="15.75" thickBot="1" x14ac:dyDescent="0.3">
      <c r="B29" s="246"/>
      <c r="C29" s="110"/>
      <c r="D29" s="109"/>
      <c r="E29" s="109"/>
      <c r="F29" s="897"/>
      <c r="G29" s="113" t="s">
        <v>174</v>
      </c>
      <c r="H29" s="157"/>
      <c r="I29" s="187">
        <f>SUM(I23:I28)</f>
        <v>1683158</v>
      </c>
      <c r="J29" s="161">
        <f>SUM(J24:J28)</f>
        <v>0</v>
      </c>
      <c r="K29" s="166">
        <v>0</v>
      </c>
      <c r="L29" s="1138"/>
    </row>
    <row r="30" spans="2:12" ht="3.75" customHeight="1" x14ac:dyDescent="0.25">
      <c r="B30" s="246"/>
      <c r="C30" s="112"/>
      <c r="D30" s="113"/>
      <c r="E30" s="113"/>
      <c r="F30" s="109"/>
      <c r="G30" s="109"/>
      <c r="H30" s="109"/>
      <c r="I30" s="138"/>
      <c r="J30" s="138"/>
      <c r="K30" s="138"/>
      <c r="L30" s="1138"/>
    </row>
    <row r="31" spans="2:12" ht="15.75" thickBot="1" x14ac:dyDescent="0.3">
      <c r="B31" s="246"/>
      <c r="C31" s="143" t="s">
        <v>175</v>
      </c>
      <c r="D31" s="144"/>
      <c r="E31" s="144"/>
      <c r="F31" s="145"/>
      <c r="G31" s="145"/>
      <c r="H31" s="145"/>
      <c r="I31" s="139"/>
      <c r="J31" s="138"/>
      <c r="K31" s="138"/>
      <c r="L31" s="1138"/>
    </row>
    <row r="32" spans="2:12" x14ac:dyDescent="0.25">
      <c r="B32" s="246"/>
      <c r="C32" s="897"/>
      <c r="D32" s="158" t="s">
        <v>176</v>
      </c>
      <c r="E32" s="109"/>
      <c r="F32" s="111"/>
      <c r="G32" s="111"/>
      <c r="H32" s="111"/>
      <c r="I32" s="162">
        <f>'6A - 9%'!K29</f>
        <v>33176</v>
      </c>
      <c r="J32" s="163"/>
      <c r="K32" s="167">
        <f>I32</f>
        <v>33176</v>
      </c>
      <c r="L32" s="1138"/>
    </row>
    <row r="33" spans="2:12" x14ac:dyDescent="0.25">
      <c r="B33" s="246"/>
      <c r="C33" s="897"/>
      <c r="D33" s="158" t="s">
        <v>177</v>
      </c>
      <c r="E33" s="109"/>
      <c r="F33" s="114"/>
      <c r="G33" s="114"/>
      <c r="H33" s="114"/>
      <c r="I33" s="164">
        <f>'6A - 9%'!K30</f>
        <v>9753626</v>
      </c>
      <c r="J33" s="156"/>
      <c r="K33" s="168">
        <f t="shared" ref="K33:K40" si="0">I33</f>
        <v>9753626</v>
      </c>
      <c r="L33" s="1138"/>
    </row>
    <row r="34" spans="2:12" x14ac:dyDescent="0.25">
      <c r="B34" s="246"/>
      <c r="C34" s="897"/>
      <c r="D34" s="158" t="s">
        <v>178</v>
      </c>
      <c r="E34" s="109"/>
      <c r="F34" s="114"/>
      <c r="G34" s="114"/>
      <c r="H34" s="114"/>
      <c r="I34" s="164">
        <f>'6A - 9%'!K31</f>
        <v>0</v>
      </c>
      <c r="J34" s="156"/>
      <c r="K34" s="168">
        <f t="shared" si="0"/>
        <v>0</v>
      </c>
      <c r="L34" s="1138"/>
    </row>
    <row r="35" spans="2:12" x14ac:dyDescent="0.25">
      <c r="B35" s="246"/>
      <c r="C35" s="897"/>
      <c r="D35" s="158" t="s">
        <v>179</v>
      </c>
      <c r="E35" s="109"/>
      <c r="F35" s="114"/>
      <c r="G35" s="114"/>
      <c r="H35" s="114"/>
      <c r="I35" s="164">
        <f>'6A - 9%'!K32</f>
        <v>0</v>
      </c>
      <c r="J35" s="156"/>
      <c r="K35" s="168">
        <f t="shared" si="0"/>
        <v>0</v>
      </c>
      <c r="L35" s="1138"/>
    </row>
    <row r="36" spans="2:12" x14ac:dyDescent="0.25">
      <c r="B36" s="246"/>
      <c r="C36" s="897"/>
      <c r="D36" s="158" t="s">
        <v>180</v>
      </c>
      <c r="E36" s="109"/>
      <c r="F36" s="114"/>
      <c r="G36" s="114"/>
      <c r="H36" s="114"/>
      <c r="I36" s="164">
        <f>'6A - 9%'!K33</f>
        <v>0</v>
      </c>
      <c r="J36" s="156"/>
      <c r="K36" s="168">
        <f t="shared" si="0"/>
        <v>0</v>
      </c>
      <c r="L36" s="1138"/>
    </row>
    <row r="37" spans="2:12" x14ac:dyDescent="0.25">
      <c r="B37" s="246"/>
      <c r="C37" s="897"/>
      <c r="D37" s="158" t="s">
        <v>181</v>
      </c>
      <c r="E37" s="109"/>
      <c r="F37" s="115"/>
      <c r="G37" s="115"/>
      <c r="H37" s="115"/>
      <c r="I37" s="164">
        <f>'6A - 9%'!K34</f>
        <v>543400</v>
      </c>
      <c r="J37" s="156"/>
      <c r="K37" s="168">
        <f t="shared" si="0"/>
        <v>543400</v>
      </c>
      <c r="L37" s="1138"/>
    </row>
    <row r="38" spans="2:12" x14ac:dyDescent="0.25">
      <c r="B38" s="246"/>
      <c r="C38" s="897"/>
      <c r="D38" s="158" t="s">
        <v>182</v>
      </c>
      <c r="E38" s="109"/>
      <c r="F38" s="115"/>
      <c r="G38" s="115"/>
      <c r="H38" s="115"/>
      <c r="I38" s="164">
        <f>'6A - 9%'!K35</f>
        <v>0</v>
      </c>
      <c r="J38" s="156"/>
      <c r="K38" s="168">
        <f t="shared" si="0"/>
        <v>0</v>
      </c>
      <c r="L38" s="1138"/>
    </row>
    <row r="39" spans="2:12" x14ac:dyDescent="0.25">
      <c r="B39" s="246"/>
      <c r="C39" s="897"/>
      <c r="D39" s="158" t="s">
        <v>183</v>
      </c>
      <c r="E39" s="109"/>
      <c r="F39" s="116"/>
      <c r="G39" s="116"/>
      <c r="H39" s="116"/>
      <c r="I39" s="164">
        <f>'6A - 9%'!K36</f>
        <v>0</v>
      </c>
      <c r="J39" s="156"/>
      <c r="K39" s="168">
        <f t="shared" si="0"/>
        <v>0</v>
      </c>
      <c r="L39" s="1138"/>
    </row>
    <row r="40" spans="2:12" x14ac:dyDescent="0.25">
      <c r="B40" s="246"/>
      <c r="C40" s="897"/>
      <c r="D40" s="158" t="s">
        <v>184</v>
      </c>
      <c r="E40" s="109"/>
      <c r="F40" s="116"/>
      <c r="G40" s="116"/>
      <c r="H40" s="116"/>
      <c r="I40" s="164">
        <f>'6A - 9%'!K37</f>
        <v>48986</v>
      </c>
      <c r="J40" s="156"/>
      <c r="K40" s="168">
        <f t="shared" si="0"/>
        <v>48986</v>
      </c>
      <c r="L40" s="1138"/>
    </row>
    <row r="41" spans="2:12" x14ac:dyDescent="0.25">
      <c r="B41" s="246"/>
      <c r="C41" s="897"/>
      <c r="D41" s="158" t="s">
        <v>185</v>
      </c>
      <c r="E41" s="109"/>
      <c r="F41" s="117"/>
      <c r="G41" s="117"/>
      <c r="H41" s="117"/>
      <c r="I41" s="164">
        <f>'6A - 9%'!K38</f>
        <v>0</v>
      </c>
      <c r="J41" s="207"/>
      <c r="K41" s="178"/>
      <c r="L41" s="1138"/>
    </row>
    <row r="42" spans="2:12" x14ac:dyDescent="0.25">
      <c r="B42" s="246"/>
      <c r="C42" s="897"/>
      <c r="D42" s="158" t="s">
        <v>253</v>
      </c>
      <c r="E42" s="109"/>
      <c r="F42" s="117"/>
      <c r="G42" s="117"/>
      <c r="H42" s="117"/>
      <c r="I42" s="164">
        <f>'6A - 9%'!K39</f>
        <v>0</v>
      </c>
      <c r="J42" s="156"/>
      <c r="K42" s="168">
        <f t="shared" ref="K42:K47" si="1">I42</f>
        <v>0</v>
      </c>
      <c r="L42" s="1138"/>
    </row>
    <row r="43" spans="2:12" x14ac:dyDescent="0.25">
      <c r="B43" s="246"/>
      <c r="C43" s="897"/>
      <c r="D43" s="158" t="s">
        <v>254</v>
      </c>
      <c r="E43" s="109"/>
      <c r="F43" s="117"/>
      <c r="G43" s="117"/>
      <c r="H43" s="117"/>
      <c r="I43" s="164">
        <f>'6A - 9%'!K40</f>
        <v>0</v>
      </c>
      <c r="J43" s="156"/>
      <c r="K43" s="168">
        <f t="shared" si="1"/>
        <v>0</v>
      </c>
      <c r="L43" s="1138"/>
    </row>
    <row r="44" spans="2:12" x14ac:dyDescent="0.25">
      <c r="B44" s="246"/>
      <c r="C44" s="897"/>
      <c r="D44" s="158" t="s">
        <v>188</v>
      </c>
      <c r="E44" s="117"/>
      <c r="F44" s="118"/>
      <c r="G44" s="118"/>
      <c r="H44" s="118"/>
      <c r="I44" s="164">
        <f>'6A - 9%'!K41</f>
        <v>951942</v>
      </c>
      <c r="J44" s="156"/>
      <c r="K44" s="168">
        <f t="shared" si="1"/>
        <v>951942</v>
      </c>
      <c r="L44" s="1138"/>
    </row>
    <row r="45" spans="2:12" x14ac:dyDescent="0.25">
      <c r="B45" s="246"/>
      <c r="C45" s="897"/>
      <c r="D45" s="158" t="s">
        <v>189</v>
      </c>
      <c r="E45" s="109"/>
      <c r="F45" s="116"/>
      <c r="G45" s="116"/>
      <c r="H45" s="116"/>
      <c r="I45" s="164">
        <f>'6A - 9%'!K42</f>
        <v>56322</v>
      </c>
      <c r="J45" s="156"/>
      <c r="K45" s="168">
        <f t="shared" si="1"/>
        <v>56322</v>
      </c>
      <c r="L45" s="1138"/>
    </row>
    <row r="46" spans="2:12" x14ac:dyDescent="0.25">
      <c r="B46" s="246"/>
      <c r="C46" s="897"/>
      <c r="D46" s="158" t="s">
        <v>190</v>
      </c>
      <c r="E46" s="109"/>
      <c r="F46" s="117"/>
      <c r="G46" s="117"/>
      <c r="H46" s="117"/>
      <c r="I46" s="164">
        <f>'6A - 9%'!K43</f>
        <v>23947</v>
      </c>
      <c r="J46" s="156"/>
      <c r="K46" s="168">
        <f t="shared" si="1"/>
        <v>23947</v>
      </c>
      <c r="L46" s="1138"/>
    </row>
    <row r="47" spans="2:12" x14ac:dyDescent="0.25">
      <c r="B47" s="246"/>
      <c r="C47" s="897"/>
      <c r="D47" s="115" t="s">
        <v>476</v>
      </c>
      <c r="E47" s="2320" t="str">
        <f>(IF(AND(I47&lt;&gt;0,'6A - 9%'!E44=""),"Enter Item on Form 6A",'6A - 9%'!E44))</f>
        <v>Commercial Tis</v>
      </c>
      <c r="F47" s="2321"/>
      <c r="G47" s="2322"/>
      <c r="H47" s="1140"/>
      <c r="I47" s="188">
        <f>'6A - 9%'!K44</f>
        <v>0</v>
      </c>
      <c r="J47" s="191"/>
      <c r="K47" s="192">
        <f t="shared" si="1"/>
        <v>0</v>
      </c>
      <c r="L47" s="1138"/>
    </row>
    <row r="48" spans="2:12" ht="15.75" thickBot="1" x14ac:dyDescent="0.3">
      <c r="B48" s="246"/>
      <c r="C48" s="110"/>
      <c r="D48" s="109"/>
      <c r="E48" s="109"/>
      <c r="F48" s="897"/>
      <c r="G48" s="113" t="s">
        <v>174</v>
      </c>
      <c r="H48" s="157"/>
      <c r="I48" s="187">
        <f>SUM(I32:I47)</f>
        <v>11411399</v>
      </c>
      <c r="J48" s="161">
        <f>(SUM(J32:J40))+(SUM(J42:J47))</f>
        <v>0</v>
      </c>
      <c r="K48" s="170">
        <f>(SUM(K32:K40))+(SUM(K42:K47))</f>
        <v>11411399</v>
      </c>
      <c r="L48" s="1138"/>
    </row>
    <row r="49" spans="2:12" ht="3.75" customHeight="1" x14ac:dyDescent="0.25">
      <c r="B49" s="246"/>
      <c r="C49" s="112"/>
      <c r="D49" s="113"/>
      <c r="E49" s="113"/>
      <c r="F49" s="109"/>
      <c r="G49" s="109"/>
      <c r="H49" s="109"/>
      <c r="I49" s="138"/>
      <c r="J49" s="138"/>
      <c r="K49" s="138"/>
      <c r="L49" s="1138"/>
    </row>
    <row r="50" spans="2:12" ht="15.75" thickBot="1" x14ac:dyDescent="0.3">
      <c r="B50" s="246"/>
      <c r="C50" s="146" t="s">
        <v>191</v>
      </c>
      <c r="D50" s="146"/>
      <c r="E50" s="146"/>
      <c r="F50" s="146"/>
      <c r="G50" s="146"/>
      <c r="H50" s="146"/>
      <c r="I50" s="138"/>
      <c r="J50" s="140"/>
      <c r="K50" s="140"/>
      <c r="L50" s="1138"/>
    </row>
    <row r="51" spans="2:12" x14ac:dyDescent="0.25">
      <c r="B51" s="246"/>
      <c r="C51" s="897"/>
      <c r="D51" s="158" t="s">
        <v>192</v>
      </c>
      <c r="E51" s="109"/>
      <c r="F51" s="111"/>
      <c r="G51" s="111"/>
      <c r="H51" s="111"/>
      <c r="I51" s="162">
        <f>'6A - 9%'!K48</f>
        <v>4703</v>
      </c>
      <c r="J51" s="179"/>
      <c r="K51" s="180"/>
      <c r="L51" s="1138"/>
    </row>
    <row r="52" spans="2:12" x14ac:dyDescent="0.25">
      <c r="B52" s="246"/>
      <c r="C52" s="897"/>
      <c r="D52" s="158" t="s">
        <v>193</v>
      </c>
      <c r="E52" s="109"/>
      <c r="F52" s="111"/>
      <c r="G52" s="111"/>
      <c r="H52" s="111"/>
      <c r="I52" s="164">
        <f>'6A - 9%'!K49</f>
        <v>2395</v>
      </c>
      <c r="J52" s="156"/>
      <c r="K52" s="168">
        <f t="shared" ref="K52:K62" si="2">I52</f>
        <v>2395</v>
      </c>
      <c r="L52" s="1138"/>
    </row>
    <row r="53" spans="2:12" x14ac:dyDescent="0.25">
      <c r="B53" s="246"/>
      <c r="C53" s="897"/>
      <c r="D53" s="158" t="s">
        <v>194</v>
      </c>
      <c r="E53" s="109"/>
      <c r="F53" s="111"/>
      <c r="G53" s="111"/>
      <c r="H53" s="111"/>
      <c r="I53" s="164">
        <f>'6A - 9%'!K50</f>
        <v>491819</v>
      </c>
      <c r="J53" s="156"/>
      <c r="K53" s="168">
        <f t="shared" si="2"/>
        <v>491819</v>
      </c>
      <c r="L53" s="1138"/>
    </row>
    <row r="54" spans="2:12" x14ac:dyDescent="0.25">
      <c r="B54" s="246"/>
      <c r="C54" s="897"/>
      <c r="D54" s="158" t="s">
        <v>195</v>
      </c>
      <c r="E54" s="109"/>
      <c r="F54" s="111"/>
      <c r="G54" s="111"/>
      <c r="H54" s="111"/>
      <c r="I54" s="164">
        <f>'6A - 9%'!K51</f>
        <v>0</v>
      </c>
      <c r="J54" s="156"/>
      <c r="K54" s="168">
        <f t="shared" si="2"/>
        <v>0</v>
      </c>
      <c r="L54" s="1138"/>
    </row>
    <row r="55" spans="2:12" x14ac:dyDescent="0.25">
      <c r="B55" s="246"/>
      <c r="C55" s="897"/>
      <c r="D55" s="148" t="s">
        <v>196</v>
      </c>
      <c r="E55" s="119"/>
      <c r="F55" s="111"/>
      <c r="G55" s="111"/>
      <c r="H55" s="111"/>
      <c r="I55" s="164">
        <f>'6A - 9%'!K52</f>
        <v>3135</v>
      </c>
      <c r="J55" s="156"/>
      <c r="K55" s="168">
        <f t="shared" si="2"/>
        <v>3135</v>
      </c>
      <c r="L55" s="1138"/>
    </row>
    <row r="56" spans="2:12" x14ac:dyDescent="0.25">
      <c r="B56" s="246"/>
      <c r="C56" s="897"/>
      <c r="D56" s="158" t="s">
        <v>197</v>
      </c>
      <c r="E56" s="120"/>
      <c r="F56" s="111"/>
      <c r="G56" s="111"/>
      <c r="H56" s="111"/>
      <c r="I56" s="164">
        <f>'6A - 9%'!K53</f>
        <v>10426</v>
      </c>
      <c r="J56" s="156"/>
      <c r="K56" s="168">
        <f t="shared" si="2"/>
        <v>10426</v>
      </c>
      <c r="L56" s="1138"/>
    </row>
    <row r="57" spans="2:12" x14ac:dyDescent="0.25">
      <c r="B57" s="246"/>
      <c r="C57" s="897"/>
      <c r="D57" s="158" t="s">
        <v>198</v>
      </c>
      <c r="E57" s="121"/>
      <c r="F57" s="111"/>
      <c r="G57" s="111"/>
      <c r="H57" s="111"/>
      <c r="I57" s="164">
        <f>'6A - 9%'!K54</f>
        <v>14794</v>
      </c>
      <c r="J57" s="156"/>
      <c r="K57" s="168">
        <f t="shared" si="2"/>
        <v>14794</v>
      </c>
      <c r="L57" s="1138"/>
    </row>
    <row r="58" spans="2:12" x14ac:dyDescent="0.25">
      <c r="B58" s="246"/>
      <c r="C58" s="897"/>
      <c r="D58" s="158" t="s">
        <v>199</v>
      </c>
      <c r="E58" s="109"/>
      <c r="F58" s="115"/>
      <c r="G58" s="115"/>
      <c r="H58" s="115"/>
      <c r="I58" s="164">
        <f>'6A - 9%'!K55</f>
        <v>70540</v>
      </c>
      <c r="J58" s="156"/>
      <c r="K58" s="168">
        <f t="shared" si="2"/>
        <v>70540</v>
      </c>
      <c r="L58" s="1138"/>
    </row>
    <row r="59" spans="2:12" x14ac:dyDescent="0.25">
      <c r="B59" s="246"/>
      <c r="C59" s="897"/>
      <c r="D59" s="148" t="s">
        <v>200</v>
      </c>
      <c r="E59" s="109"/>
      <c r="F59" s="111"/>
      <c r="G59" s="111"/>
      <c r="H59" s="111"/>
      <c r="I59" s="164">
        <f>'6A - 9%'!K56</f>
        <v>667511</v>
      </c>
      <c r="J59" s="156"/>
      <c r="K59" s="168">
        <f t="shared" si="2"/>
        <v>667511</v>
      </c>
      <c r="L59" s="1138"/>
    </row>
    <row r="60" spans="2:12" x14ac:dyDescent="0.25">
      <c r="B60" s="246"/>
      <c r="C60" s="897"/>
      <c r="D60" s="148" t="s">
        <v>255</v>
      </c>
      <c r="E60" s="109"/>
      <c r="F60" s="111"/>
      <c r="G60" s="111"/>
      <c r="H60" s="111"/>
      <c r="I60" s="164">
        <f>'6A - 9%'!K57</f>
        <v>94053</v>
      </c>
      <c r="J60" s="156"/>
      <c r="K60" s="168">
        <f t="shared" si="2"/>
        <v>94053</v>
      </c>
      <c r="L60" s="1138"/>
    </row>
    <row r="61" spans="2:12" x14ac:dyDescent="0.25">
      <c r="B61" s="246"/>
      <c r="C61" s="897"/>
      <c r="D61" s="148" t="s">
        <v>202</v>
      </c>
      <c r="E61" s="115"/>
      <c r="F61" s="897"/>
      <c r="G61" s="1141"/>
      <c r="H61" s="1141"/>
      <c r="I61" s="164">
        <f>'6A - 9%'!K58</f>
        <v>28608</v>
      </c>
      <c r="J61" s="156"/>
      <c r="K61" s="169">
        <f t="shared" si="2"/>
        <v>28608</v>
      </c>
      <c r="L61" s="1138"/>
    </row>
    <row r="62" spans="2:12" x14ac:dyDescent="0.25">
      <c r="B62" s="246"/>
      <c r="C62" s="897"/>
      <c r="D62" s="148" t="s">
        <v>203</v>
      </c>
      <c r="E62" s="115"/>
      <c r="F62" s="897"/>
      <c r="G62" s="1141"/>
      <c r="H62" s="1141"/>
      <c r="I62" s="164">
        <f>'6A - 9%'!K59</f>
        <v>47804</v>
      </c>
      <c r="J62" s="156"/>
      <c r="K62" s="169">
        <f t="shared" si="2"/>
        <v>47804</v>
      </c>
      <c r="L62" s="1138"/>
    </row>
    <row r="63" spans="2:12" x14ac:dyDescent="0.25">
      <c r="B63" s="246"/>
      <c r="C63" s="897"/>
      <c r="D63" s="115" t="s">
        <v>476</v>
      </c>
      <c r="E63" s="2320" t="str">
        <f>(IF(AND(I63&lt;&gt;0,'6A - 9%'!E60=""),"Enter Item on Form 6A",'6A - 9%'!E60))</f>
        <v>Temporary Parking Costs</v>
      </c>
      <c r="F63" s="2321"/>
      <c r="G63" s="2322"/>
      <c r="H63" s="1140"/>
      <c r="I63" s="188">
        <f>'6A - 9%'!K60</f>
        <v>33310</v>
      </c>
      <c r="J63" s="191"/>
      <c r="K63" s="193">
        <v>0</v>
      </c>
      <c r="L63" s="1138"/>
    </row>
    <row r="64" spans="2:12" ht="15.75" thickBot="1" x14ac:dyDescent="0.3">
      <c r="B64" s="246"/>
      <c r="C64" s="110"/>
      <c r="D64" s="109"/>
      <c r="E64" s="109"/>
      <c r="F64" s="897"/>
      <c r="G64" s="113" t="s">
        <v>174</v>
      </c>
      <c r="H64" s="157"/>
      <c r="I64" s="187">
        <f>SUM(I51:I63)</f>
        <v>1469098</v>
      </c>
      <c r="J64" s="161">
        <f>SUM(J52:J63)</f>
        <v>0</v>
      </c>
      <c r="K64" s="170">
        <f>SUM(K52:K63)</f>
        <v>1431085</v>
      </c>
      <c r="L64" s="1138"/>
    </row>
    <row r="65" spans="2:12" ht="9" customHeight="1" thickBot="1" x14ac:dyDescent="0.3">
      <c r="B65" s="1142"/>
      <c r="C65" s="202"/>
      <c r="D65" s="202"/>
      <c r="E65" s="202"/>
      <c r="F65" s="203"/>
      <c r="G65" s="203"/>
      <c r="H65" s="203"/>
      <c r="I65" s="204"/>
      <c r="J65" s="205"/>
      <c r="K65" s="205"/>
      <c r="L65" s="1143"/>
    </row>
    <row r="66" spans="2:12" ht="15.75" thickBot="1" x14ac:dyDescent="0.3">
      <c r="B66" s="246"/>
      <c r="C66" s="198" t="s">
        <v>204</v>
      </c>
      <c r="D66" s="199"/>
      <c r="E66" s="199"/>
      <c r="F66" s="200"/>
      <c r="G66" s="200"/>
      <c r="H66" s="200"/>
      <c r="I66" s="201"/>
      <c r="J66" s="138"/>
      <c r="K66" s="138"/>
      <c r="L66" s="1138"/>
    </row>
    <row r="67" spans="2:12" x14ac:dyDescent="0.25">
      <c r="B67" s="246"/>
      <c r="C67" s="897"/>
      <c r="D67" s="152" t="s">
        <v>205</v>
      </c>
      <c r="E67" s="113"/>
      <c r="F67" s="109"/>
      <c r="G67" s="109"/>
      <c r="H67" s="109"/>
      <c r="I67" s="162">
        <f>'6A - 9%'!K64</f>
        <v>0</v>
      </c>
      <c r="J67" s="181"/>
      <c r="K67" s="182"/>
      <c r="L67" s="1138"/>
    </row>
    <row r="68" spans="2:12" x14ac:dyDescent="0.25">
      <c r="B68" s="246"/>
      <c r="C68" s="897"/>
      <c r="D68" s="152" t="s">
        <v>206</v>
      </c>
      <c r="E68" s="113"/>
      <c r="F68" s="109"/>
      <c r="G68" s="109"/>
      <c r="H68" s="109"/>
      <c r="I68" s="188">
        <f>'6A - 9%'!K65</f>
        <v>39189</v>
      </c>
      <c r="J68" s="194"/>
      <c r="K68" s="195"/>
      <c r="L68" s="1138"/>
    </row>
    <row r="69" spans="2:12" ht="15.75" thickBot="1" x14ac:dyDescent="0.3">
      <c r="B69" s="246"/>
      <c r="C69" s="897"/>
      <c r="D69" s="113"/>
      <c r="E69" s="897"/>
      <c r="F69" s="109"/>
      <c r="G69" s="113" t="s">
        <v>174</v>
      </c>
      <c r="H69" s="109"/>
      <c r="I69" s="187">
        <f>SUM(I67:I68)</f>
        <v>39189</v>
      </c>
      <c r="J69" s="161">
        <v>0</v>
      </c>
      <c r="K69" s="170">
        <v>0</v>
      </c>
      <c r="L69" s="1138"/>
    </row>
    <row r="70" spans="2:12" ht="3.75" customHeight="1" x14ac:dyDescent="0.25">
      <c r="B70" s="246"/>
      <c r="C70" s="897"/>
      <c r="D70" s="113"/>
      <c r="E70" s="897"/>
      <c r="F70" s="109"/>
      <c r="G70" s="109"/>
      <c r="H70" s="109"/>
      <c r="I70" s="138"/>
      <c r="J70" s="138"/>
      <c r="K70" s="138"/>
      <c r="L70" s="1138"/>
    </row>
    <row r="71" spans="2:12" ht="15.75" thickBot="1" x14ac:dyDescent="0.3">
      <c r="B71" s="246"/>
      <c r="C71" s="143" t="s">
        <v>207</v>
      </c>
      <c r="D71" s="144"/>
      <c r="E71" s="144"/>
      <c r="F71" s="145"/>
      <c r="G71" s="145"/>
      <c r="H71" s="145"/>
      <c r="I71" s="138"/>
      <c r="J71" s="138"/>
      <c r="K71" s="138"/>
      <c r="L71" s="1138"/>
    </row>
    <row r="72" spans="2:12" x14ac:dyDescent="0.25">
      <c r="B72" s="246"/>
      <c r="C72" s="897"/>
      <c r="D72" s="158" t="s">
        <v>208</v>
      </c>
      <c r="E72" s="113"/>
      <c r="F72" s="109"/>
      <c r="G72" s="109"/>
      <c r="H72" s="109"/>
      <c r="I72" s="162">
        <f>'6A - 9%'!K69</f>
        <v>35000</v>
      </c>
      <c r="J72" s="163"/>
      <c r="K72" s="171">
        <f>I72</f>
        <v>35000</v>
      </c>
      <c r="L72" s="1138"/>
    </row>
    <row r="73" spans="2:12" x14ac:dyDescent="0.25">
      <c r="B73" s="246"/>
      <c r="C73" s="897"/>
      <c r="D73" s="158" t="s">
        <v>209</v>
      </c>
      <c r="E73" s="113"/>
      <c r="F73" s="109"/>
      <c r="G73" s="109"/>
      <c r="H73" s="109"/>
      <c r="I73" s="164">
        <f>'6A - 9%'!K70</f>
        <v>0</v>
      </c>
      <c r="J73" s="156"/>
      <c r="K73" s="168">
        <f>I73</f>
        <v>0</v>
      </c>
      <c r="L73" s="1138"/>
    </row>
    <row r="74" spans="2:12" x14ac:dyDescent="0.25">
      <c r="B74" s="246"/>
      <c r="C74" s="897"/>
      <c r="D74" s="158" t="s">
        <v>210</v>
      </c>
      <c r="E74" s="113"/>
      <c r="F74" s="109"/>
      <c r="G74" s="109"/>
      <c r="H74" s="109"/>
      <c r="I74" s="164">
        <f>'6A - 9%'!K71</f>
        <v>19000</v>
      </c>
      <c r="J74" s="156"/>
      <c r="K74" s="168">
        <f>I74</f>
        <v>19000</v>
      </c>
      <c r="L74" s="1138"/>
    </row>
    <row r="75" spans="2:12" x14ac:dyDescent="0.25">
      <c r="B75" s="246"/>
      <c r="C75" s="897"/>
      <c r="D75" s="158" t="s">
        <v>211</v>
      </c>
      <c r="E75" s="113"/>
      <c r="F75" s="109"/>
      <c r="G75" s="109"/>
      <c r="H75" s="109"/>
      <c r="I75" s="164">
        <f>'6A - 9%'!K72</f>
        <v>350000</v>
      </c>
      <c r="J75" s="156"/>
      <c r="K75" s="168">
        <f>I75*0.7</f>
        <v>244999.99999999997</v>
      </c>
      <c r="L75" s="1138"/>
    </row>
    <row r="76" spans="2:12" x14ac:dyDescent="0.25">
      <c r="B76" s="246"/>
      <c r="C76" s="897"/>
      <c r="D76" s="158" t="s">
        <v>212</v>
      </c>
      <c r="E76" s="113"/>
      <c r="F76" s="109"/>
      <c r="G76" s="109"/>
      <c r="H76" s="109"/>
      <c r="I76" s="188">
        <f>'6A - 9%'!K73</f>
        <v>48986</v>
      </c>
      <c r="J76" s="196"/>
      <c r="K76" s="197"/>
      <c r="L76" s="1138"/>
    </row>
    <row r="77" spans="2:12" ht="15.75" thickBot="1" x14ac:dyDescent="0.3">
      <c r="B77" s="246"/>
      <c r="C77" s="110"/>
      <c r="D77" s="109"/>
      <c r="E77" s="109"/>
      <c r="F77" s="897"/>
      <c r="G77" s="113" t="s">
        <v>174</v>
      </c>
      <c r="H77" s="157"/>
      <c r="I77" s="187">
        <f>SUM(I72:I76)</f>
        <v>452986</v>
      </c>
      <c r="J77" s="161">
        <f>SUM(J72:J75)</f>
        <v>0</v>
      </c>
      <c r="K77" s="170">
        <f>SUM(K72:K75)</f>
        <v>299000</v>
      </c>
      <c r="L77" s="1138"/>
    </row>
    <row r="78" spans="2:12" ht="3.75" customHeight="1" x14ac:dyDescent="0.25">
      <c r="B78" s="246"/>
      <c r="C78" s="112"/>
      <c r="D78" s="113"/>
      <c r="E78" s="113"/>
      <c r="F78" s="109"/>
      <c r="G78" s="109"/>
      <c r="H78" s="109"/>
      <c r="I78" s="138"/>
      <c r="J78" s="138"/>
      <c r="K78" s="138"/>
      <c r="L78" s="1138"/>
    </row>
    <row r="79" spans="2:12" ht="15.75" thickBot="1" x14ac:dyDescent="0.3">
      <c r="B79" s="246"/>
      <c r="C79" s="143" t="s">
        <v>213</v>
      </c>
      <c r="D79" s="144"/>
      <c r="E79" s="144"/>
      <c r="F79" s="145"/>
      <c r="G79" s="145"/>
      <c r="H79" s="145"/>
      <c r="I79" s="138"/>
      <c r="J79" s="138"/>
      <c r="K79" s="138"/>
      <c r="L79" s="1138"/>
    </row>
    <row r="80" spans="2:12" x14ac:dyDescent="0.25">
      <c r="B80" s="246"/>
      <c r="C80" s="897"/>
      <c r="D80" s="158" t="s">
        <v>214</v>
      </c>
      <c r="E80" s="113"/>
      <c r="F80" s="109"/>
      <c r="G80" s="109"/>
      <c r="H80" s="109"/>
      <c r="I80" s="162">
        <f>'6A - 9%'!K77</f>
        <v>15000</v>
      </c>
      <c r="J80" s="181"/>
      <c r="K80" s="182"/>
      <c r="L80" s="1138"/>
    </row>
    <row r="81" spans="2:12" x14ac:dyDescent="0.25">
      <c r="B81" s="246"/>
      <c r="C81" s="897"/>
      <c r="D81" s="158" t="s">
        <v>215</v>
      </c>
      <c r="E81" s="113"/>
      <c r="F81" s="109"/>
      <c r="G81" s="109"/>
      <c r="H81" s="109"/>
      <c r="I81" s="164">
        <f>'6A - 9%'!K78</f>
        <v>0</v>
      </c>
      <c r="J81" s="183"/>
      <c r="K81" s="184"/>
      <c r="L81" s="1138"/>
    </row>
    <row r="82" spans="2:12" x14ac:dyDescent="0.25">
      <c r="B82" s="246"/>
      <c r="C82" s="897"/>
      <c r="D82" s="158" t="s">
        <v>216</v>
      </c>
      <c r="E82" s="113"/>
      <c r="F82" s="109"/>
      <c r="G82" s="109"/>
      <c r="H82" s="109"/>
      <c r="I82" s="164">
        <f>'6A - 9%'!K79</f>
        <v>19000</v>
      </c>
      <c r="J82" s="183"/>
      <c r="K82" s="184"/>
      <c r="L82" s="1138"/>
    </row>
    <row r="83" spans="2:12" x14ac:dyDescent="0.25">
      <c r="B83" s="246"/>
      <c r="C83" s="897"/>
      <c r="D83" s="147" t="s">
        <v>217</v>
      </c>
      <c r="E83" s="109"/>
      <c r="F83" s="109"/>
      <c r="G83" s="109"/>
      <c r="H83" s="109"/>
      <c r="I83" s="164">
        <f>'6A - 9%'!K80</f>
        <v>116076</v>
      </c>
      <c r="J83" s="183"/>
      <c r="K83" s="184"/>
      <c r="L83" s="1138"/>
    </row>
    <row r="84" spans="2:12" x14ac:dyDescent="0.25">
      <c r="B84" s="246"/>
      <c r="C84" s="897"/>
      <c r="D84" s="153" t="s">
        <v>218</v>
      </c>
      <c r="E84" s="109"/>
      <c r="F84" s="109"/>
      <c r="G84" s="109"/>
      <c r="H84" s="109"/>
      <c r="I84" s="164">
        <f>'6A - 9%'!K81</f>
        <v>23947</v>
      </c>
      <c r="J84" s="183"/>
      <c r="K84" s="184"/>
      <c r="L84" s="1138"/>
    </row>
    <row r="85" spans="2:12" x14ac:dyDescent="0.25">
      <c r="B85" s="246"/>
      <c r="C85" s="897"/>
      <c r="D85" s="153" t="s">
        <v>219</v>
      </c>
      <c r="E85" s="109"/>
      <c r="F85" s="109"/>
      <c r="G85" s="109"/>
      <c r="H85" s="109"/>
      <c r="I85" s="164">
        <f>'6A - 9%'!K82</f>
        <v>0</v>
      </c>
      <c r="J85" s="183"/>
      <c r="K85" s="184"/>
      <c r="L85" s="1138"/>
    </row>
    <row r="86" spans="2:12" x14ac:dyDescent="0.25">
      <c r="B86" s="246"/>
      <c r="C86" s="897"/>
      <c r="D86" s="148" t="s">
        <v>220</v>
      </c>
      <c r="E86" s="113"/>
      <c r="F86" s="109"/>
      <c r="G86" s="109"/>
      <c r="H86" s="109"/>
      <c r="I86" s="164">
        <f>'6A - 9%'!K83</f>
        <v>0</v>
      </c>
      <c r="J86" s="183"/>
      <c r="K86" s="184"/>
      <c r="L86" s="1138"/>
    </row>
    <row r="87" spans="2:12" x14ac:dyDescent="0.25">
      <c r="B87" s="246"/>
      <c r="C87" s="897"/>
      <c r="D87" s="115" t="s">
        <v>476</v>
      </c>
      <c r="E87" s="2320" t="str">
        <f>(IF(AND(I87&lt;&gt;0,'6A - 9%'!E84=""),"Enter Item on Form 6A",'6A - 9%'!E84))</f>
        <v>Closing costs/Bank Inspections</v>
      </c>
      <c r="F87" s="2321"/>
      <c r="G87" s="2322"/>
      <c r="H87" s="1140"/>
      <c r="I87" s="188">
        <f>'6A - 9%'!K84</f>
        <v>22075</v>
      </c>
      <c r="J87" s="194"/>
      <c r="K87" s="195"/>
      <c r="L87" s="1138"/>
    </row>
    <row r="88" spans="2:12" ht="15.75" thickBot="1" x14ac:dyDescent="0.3">
      <c r="B88" s="246"/>
      <c r="C88" s="110"/>
      <c r="D88" s="109"/>
      <c r="E88" s="109"/>
      <c r="F88" s="897"/>
      <c r="G88" s="113" t="s">
        <v>174</v>
      </c>
      <c r="H88" s="157"/>
      <c r="I88" s="187">
        <f>SUM(I80:I87)</f>
        <v>196098</v>
      </c>
      <c r="J88" s="161">
        <v>0</v>
      </c>
      <c r="K88" s="170">
        <v>0</v>
      </c>
      <c r="L88" s="1138"/>
    </row>
    <row r="89" spans="2:12" ht="3.75" customHeight="1" x14ac:dyDescent="0.25">
      <c r="B89" s="246"/>
      <c r="C89" s="112"/>
      <c r="D89" s="113"/>
      <c r="E89" s="113"/>
      <c r="F89" s="109"/>
      <c r="G89" s="109"/>
      <c r="H89" s="109"/>
      <c r="I89" s="138"/>
      <c r="J89" s="138"/>
      <c r="K89" s="138"/>
      <c r="L89" s="1138"/>
    </row>
    <row r="90" spans="2:12" ht="15.75" thickBot="1" x14ac:dyDescent="0.3">
      <c r="B90" s="246"/>
      <c r="C90" s="143" t="s">
        <v>221</v>
      </c>
      <c r="D90" s="144"/>
      <c r="E90" s="144"/>
      <c r="F90" s="145"/>
      <c r="G90" s="145"/>
      <c r="H90" s="145"/>
      <c r="I90" s="141"/>
      <c r="J90" s="141"/>
      <c r="K90" s="150"/>
      <c r="L90" s="1138"/>
    </row>
    <row r="91" spans="2:12" x14ac:dyDescent="0.25">
      <c r="B91" s="246"/>
      <c r="C91" s="897"/>
      <c r="D91" s="154" t="s">
        <v>222</v>
      </c>
      <c r="E91" s="109"/>
      <c r="F91" s="116"/>
      <c r="G91" s="116"/>
      <c r="H91" s="116"/>
      <c r="I91" s="162">
        <f>'6A - 9%'!K88</f>
        <v>280000</v>
      </c>
      <c r="J91" s="181"/>
      <c r="K91" s="182"/>
      <c r="L91" s="1138"/>
    </row>
    <row r="92" spans="2:12" x14ac:dyDescent="0.25">
      <c r="B92" s="246"/>
      <c r="C92" s="897"/>
      <c r="D92" s="154" t="s">
        <v>223</v>
      </c>
      <c r="E92" s="109"/>
      <c r="F92" s="117"/>
      <c r="G92" s="117"/>
      <c r="H92" s="117"/>
      <c r="I92" s="164">
        <f>'6A - 9%'!K89</f>
        <v>18550</v>
      </c>
      <c r="J92" s="183"/>
      <c r="K92" s="184"/>
      <c r="L92" s="1138"/>
    </row>
    <row r="93" spans="2:12" x14ac:dyDescent="0.25">
      <c r="B93" s="246"/>
      <c r="C93" s="897"/>
      <c r="D93" s="115" t="s">
        <v>476</v>
      </c>
      <c r="E93" s="2320">
        <f>(IF(AND(I93&lt;&gt;0,'6A - 9%'!E90=""),"Enter Item on Form 6A",'6A - 9%'!E90))</f>
        <v>0</v>
      </c>
      <c r="F93" s="2321"/>
      <c r="G93" s="2322"/>
      <c r="H93" s="1140"/>
      <c r="I93" s="188">
        <f>'6A - 9%'!K90</f>
        <v>0</v>
      </c>
      <c r="J93" s="194"/>
      <c r="K93" s="195"/>
      <c r="L93" s="1138"/>
    </row>
    <row r="94" spans="2:12" ht="15.75" thickBot="1" x14ac:dyDescent="0.3">
      <c r="B94" s="246"/>
      <c r="C94" s="110"/>
      <c r="D94" s="109"/>
      <c r="E94" s="109"/>
      <c r="F94" s="897"/>
      <c r="G94" s="113" t="s">
        <v>174</v>
      </c>
      <c r="H94" s="157"/>
      <c r="I94" s="187">
        <f>SUM(I91:I93)</f>
        <v>298550</v>
      </c>
      <c r="J94" s="161">
        <v>0</v>
      </c>
      <c r="K94" s="170">
        <v>0</v>
      </c>
      <c r="L94" s="1138"/>
    </row>
    <row r="95" spans="2:12" ht="3.75" customHeight="1" x14ac:dyDescent="0.25">
      <c r="B95" s="246"/>
      <c r="C95" s="112"/>
      <c r="D95" s="113"/>
      <c r="E95" s="113"/>
      <c r="F95" s="109"/>
      <c r="G95" s="109"/>
      <c r="H95" s="109"/>
      <c r="I95" s="138"/>
      <c r="J95" s="138"/>
      <c r="K95" s="138"/>
      <c r="L95" s="1138"/>
    </row>
    <row r="96" spans="2:12" ht="15.75" thickBot="1" x14ac:dyDescent="0.3">
      <c r="B96" s="246"/>
      <c r="C96" s="143" t="s">
        <v>224</v>
      </c>
      <c r="D96" s="144"/>
      <c r="E96" s="144"/>
      <c r="F96" s="145"/>
      <c r="G96" s="145"/>
      <c r="H96" s="145"/>
      <c r="I96" s="151"/>
      <c r="J96" s="141"/>
      <c r="K96" s="150"/>
      <c r="L96" s="1138"/>
    </row>
    <row r="97" spans="2:12" x14ac:dyDescent="0.25">
      <c r="B97" s="246"/>
      <c r="C97" s="897"/>
      <c r="D97" s="148" t="s">
        <v>225</v>
      </c>
      <c r="E97" s="109"/>
      <c r="F97" s="116"/>
      <c r="G97" s="116"/>
      <c r="H97" s="116"/>
      <c r="I97" s="162">
        <f>'6A - 9%'!K94</f>
        <v>0</v>
      </c>
      <c r="J97" s="163"/>
      <c r="K97" s="171">
        <f t="shared" ref="K97:K103" si="3">I97</f>
        <v>0</v>
      </c>
      <c r="L97" s="1138"/>
    </row>
    <row r="98" spans="2:12" x14ac:dyDescent="0.25">
      <c r="B98" s="246"/>
      <c r="C98" s="897"/>
      <c r="D98" s="148" t="s">
        <v>226</v>
      </c>
      <c r="E98" s="109"/>
      <c r="F98" s="117"/>
      <c r="G98" s="117"/>
      <c r="H98" s="117"/>
      <c r="I98" s="164">
        <f>'6A - 9%'!K95</f>
        <v>30371</v>
      </c>
      <c r="J98" s="156"/>
      <c r="K98" s="168">
        <f t="shared" si="3"/>
        <v>30371</v>
      </c>
      <c r="L98" s="1138"/>
    </row>
    <row r="99" spans="2:12" x14ac:dyDescent="0.25">
      <c r="B99" s="246"/>
      <c r="C99" s="897"/>
      <c r="D99" s="148" t="s">
        <v>118</v>
      </c>
      <c r="E99" s="109"/>
      <c r="F99" s="109"/>
      <c r="G99" s="109"/>
      <c r="H99" s="109"/>
      <c r="I99" s="164">
        <f>'6A - 9%'!K96</f>
        <v>78378</v>
      </c>
      <c r="J99" s="156"/>
      <c r="K99" s="168">
        <f t="shared" si="3"/>
        <v>78378</v>
      </c>
      <c r="L99" s="1138"/>
    </row>
    <row r="100" spans="2:12" x14ac:dyDescent="0.25">
      <c r="B100" s="246"/>
      <c r="C100" s="897"/>
      <c r="D100" s="148" t="s">
        <v>227</v>
      </c>
      <c r="E100" s="109"/>
      <c r="F100" s="109"/>
      <c r="G100" s="109"/>
      <c r="H100" s="109"/>
      <c r="I100" s="164">
        <f>'6A - 9%'!K97</f>
        <v>0</v>
      </c>
      <c r="J100" s="156"/>
      <c r="K100" s="168">
        <f t="shared" si="3"/>
        <v>0</v>
      </c>
      <c r="L100" s="1138"/>
    </row>
    <row r="101" spans="2:12" x14ac:dyDescent="0.25">
      <c r="B101" s="246"/>
      <c r="C101" s="897"/>
      <c r="D101" s="148" t="s">
        <v>228</v>
      </c>
      <c r="E101" s="109"/>
      <c r="F101" s="109"/>
      <c r="G101" s="109"/>
      <c r="H101" s="109"/>
      <c r="I101" s="164">
        <f>'6A - 9%'!K98</f>
        <v>544387</v>
      </c>
      <c r="J101" s="156"/>
      <c r="K101" s="168">
        <f t="shared" si="3"/>
        <v>544387</v>
      </c>
      <c r="L101" s="1138"/>
    </row>
    <row r="102" spans="2:12" x14ac:dyDescent="0.25">
      <c r="B102" s="246"/>
      <c r="C102" s="897"/>
      <c r="D102" s="147" t="s">
        <v>229</v>
      </c>
      <c r="E102" s="109"/>
      <c r="F102" s="109"/>
      <c r="G102" s="109"/>
      <c r="H102" s="109"/>
      <c r="I102" s="164">
        <f>'6A - 9%'!K99</f>
        <v>0</v>
      </c>
      <c r="J102" s="156"/>
      <c r="K102" s="168">
        <f t="shared" si="3"/>
        <v>0</v>
      </c>
      <c r="L102" s="1138"/>
    </row>
    <row r="103" spans="2:12" x14ac:dyDescent="0.25">
      <c r="B103" s="246"/>
      <c r="C103" s="897"/>
      <c r="D103" s="147" t="s">
        <v>230</v>
      </c>
      <c r="E103" s="109"/>
      <c r="F103" s="109"/>
      <c r="G103" s="109"/>
      <c r="H103" s="109"/>
      <c r="I103" s="164">
        <f>'6A - 9%'!K100</f>
        <v>0</v>
      </c>
      <c r="J103" s="156"/>
      <c r="K103" s="168">
        <f t="shared" si="3"/>
        <v>0</v>
      </c>
      <c r="L103" s="1138"/>
    </row>
    <row r="104" spans="2:12" x14ac:dyDescent="0.25">
      <c r="B104" s="246"/>
      <c r="C104" s="897"/>
      <c r="D104" s="153" t="s">
        <v>231</v>
      </c>
      <c r="E104" s="109"/>
      <c r="F104" s="109"/>
      <c r="G104" s="109"/>
      <c r="H104" s="109"/>
      <c r="I104" s="164">
        <f>'6A - 9%'!K101</f>
        <v>0</v>
      </c>
      <c r="J104" s="207"/>
      <c r="K104" s="178"/>
      <c r="L104" s="1138"/>
    </row>
    <row r="105" spans="2:12" x14ac:dyDescent="0.25">
      <c r="B105" s="246"/>
      <c r="C105" s="897"/>
      <c r="D105" s="148" t="s">
        <v>232</v>
      </c>
      <c r="E105" s="109"/>
      <c r="F105" s="109"/>
      <c r="G105" s="109"/>
      <c r="H105" s="109"/>
      <c r="I105" s="164">
        <f>'6A - 9%'!K102</f>
        <v>4703</v>
      </c>
      <c r="J105" s="156"/>
      <c r="K105" s="168">
        <f>I105</f>
        <v>4703</v>
      </c>
      <c r="L105" s="1138"/>
    </row>
    <row r="106" spans="2:12" x14ac:dyDescent="0.25">
      <c r="B106" s="246"/>
      <c r="C106" s="897"/>
      <c r="D106" s="147" t="s">
        <v>233</v>
      </c>
      <c r="E106" s="109"/>
      <c r="F106" s="109"/>
      <c r="G106" s="109"/>
      <c r="H106" s="109"/>
      <c r="I106" s="164">
        <f>'6A - 9%'!K103</f>
        <v>7495</v>
      </c>
      <c r="J106" s="185"/>
      <c r="K106" s="186"/>
      <c r="L106" s="1138"/>
    </row>
    <row r="107" spans="2:12" x14ac:dyDescent="0.25">
      <c r="B107" s="246"/>
      <c r="C107" s="897"/>
      <c r="D107" s="154" t="s">
        <v>234</v>
      </c>
      <c r="E107" s="124"/>
      <c r="F107" s="117"/>
      <c r="G107" s="117"/>
      <c r="H107" s="117"/>
      <c r="I107" s="188">
        <f>'6A - 9%'!K104</f>
        <v>0</v>
      </c>
      <c r="J107" s="194"/>
      <c r="K107" s="195"/>
      <c r="L107" s="1138"/>
    </row>
    <row r="108" spans="2:12" ht="15.75" thickBot="1" x14ac:dyDescent="0.3">
      <c r="B108" s="246"/>
      <c r="C108" s="110"/>
      <c r="D108" s="109"/>
      <c r="E108" s="109"/>
      <c r="F108" s="897"/>
      <c r="G108" s="113" t="s">
        <v>174</v>
      </c>
      <c r="H108" s="157"/>
      <c r="I108" s="187">
        <f>SUM(I97:I107)</f>
        <v>665334</v>
      </c>
      <c r="J108" s="161">
        <f>SUM(J97:J103)+J105</f>
        <v>0</v>
      </c>
      <c r="K108" s="170">
        <f>SUM(K97:K103)+K105</f>
        <v>657839</v>
      </c>
      <c r="L108" s="1138"/>
    </row>
    <row r="109" spans="2:12" ht="9" customHeight="1" thickBot="1" x14ac:dyDescent="0.3">
      <c r="B109" s="1142"/>
      <c r="C109" s="206"/>
      <c r="D109" s="123"/>
      <c r="E109" s="123"/>
      <c r="F109" s="122"/>
      <c r="G109" s="122"/>
      <c r="H109" s="122"/>
      <c r="I109" s="155"/>
      <c r="J109" s="155"/>
      <c r="K109" s="155"/>
      <c r="L109" s="1143"/>
    </row>
    <row r="110" spans="2:12" ht="15.75" thickBot="1" x14ac:dyDescent="0.3">
      <c r="B110" s="246"/>
      <c r="C110" s="143" t="s">
        <v>235</v>
      </c>
      <c r="D110" s="144"/>
      <c r="E110" s="144"/>
      <c r="F110" s="145"/>
      <c r="G110" s="145"/>
      <c r="H110" s="145"/>
      <c r="I110" s="138"/>
      <c r="J110" s="138"/>
      <c r="K110" s="138"/>
      <c r="L110" s="248"/>
    </row>
    <row r="111" spans="2:12" x14ac:dyDescent="0.25">
      <c r="B111" s="246"/>
      <c r="C111" s="247"/>
      <c r="D111" s="158" t="s">
        <v>236</v>
      </c>
      <c r="E111" s="113"/>
      <c r="F111" s="109"/>
      <c r="G111" s="109"/>
      <c r="H111" s="109"/>
      <c r="I111" s="162">
        <f>'6A - 9%'!K109</f>
        <v>0</v>
      </c>
      <c r="J111" s="181"/>
      <c r="K111" s="182"/>
      <c r="L111" s="248"/>
    </row>
    <row r="112" spans="2:12" x14ac:dyDescent="0.25">
      <c r="B112" s="246"/>
      <c r="C112" s="247"/>
      <c r="D112" s="158" t="s">
        <v>237</v>
      </c>
      <c r="E112" s="113"/>
      <c r="F112" s="109"/>
      <c r="G112" s="109"/>
      <c r="H112" s="109"/>
      <c r="I112" s="164">
        <f>'6A - 9%'!K110</f>
        <v>0</v>
      </c>
      <c r="J112" s="183"/>
      <c r="K112" s="184"/>
      <c r="L112" s="248"/>
    </row>
    <row r="113" spans="2:12" x14ac:dyDescent="0.25">
      <c r="B113" s="246"/>
      <c r="C113" s="897"/>
      <c r="D113" s="158" t="s">
        <v>238</v>
      </c>
      <c r="E113" s="113"/>
      <c r="F113" s="109"/>
      <c r="G113" s="109"/>
      <c r="H113" s="109"/>
      <c r="I113" s="164">
        <f>'6A - 9%'!K111</f>
        <v>0</v>
      </c>
      <c r="J113" s="183"/>
      <c r="K113" s="184"/>
      <c r="L113" s="1138"/>
    </row>
    <row r="114" spans="2:12" x14ac:dyDescent="0.25">
      <c r="B114" s="246"/>
      <c r="C114" s="897"/>
      <c r="D114" s="158" t="s">
        <v>239</v>
      </c>
      <c r="E114" s="113"/>
      <c r="F114" s="109"/>
      <c r="G114" s="109"/>
      <c r="H114" s="109"/>
      <c r="I114" s="164">
        <f>'6A - 9%'!K112</f>
        <v>0</v>
      </c>
      <c r="J114" s="183"/>
      <c r="K114" s="184"/>
      <c r="L114" s="1138"/>
    </row>
    <row r="115" spans="2:12" x14ac:dyDescent="0.25">
      <c r="B115" s="246"/>
      <c r="C115" s="897"/>
      <c r="D115" s="158" t="s">
        <v>240</v>
      </c>
      <c r="E115" s="113"/>
      <c r="F115" s="109"/>
      <c r="G115" s="109"/>
      <c r="H115" s="109"/>
      <c r="I115" s="164">
        <f>'6A - 9%'!K113</f>
        <v>0</v>
      </c>
      <c r="J115" s="183"/>
      <c r="K115" s="184"/>
      <c r="L115" s="1138"/>
    </row>
    <row r="116" spans="2:12" x14ac:dyDescent="0.25">
      <c r="B116" s="246"/>
      <c r="C116" s="897"/>
      <c r="D116" s="158" t="s">
        <v>241</v>
      </c>
      <c r="E116" s="113"/>
      <c r="F116" s="109"/>
      <c r="G116" s="109"/>
      <c r="H116" s="109"/>
      <c r="I116" s="164">
        <f>'6A - 9%'!K114</f>
        <v>0</v>
      </c>
      <c r="J116" s="183"/>
      <c r="K116" s="184"/>
      <c r="L116" s="1138"/>
    </row>
    <row r="117" spans="2:12" x14ac:dyDescent="0.25">
      <c r="B117" s="246"/>
      <c r="C117" s="897"/>
      <c r="D117" s="158" t="s">
        <v>242</v>
      </c>
      <c r="E117" s="113"/>
      <c r="F117" s="109"/>
      <c r="G117" s="109"/>
      <c r="H117" s="109"/>
      <c r="I117" s="188">
        <f>'6A - 9%'!K115</f>
        <v>0</v>
      </c>
      <c r="J117" s="194"/>
      <c r="K117" s="195"/>
      <c r="L117" s="1138"/>
    </row>
    <row r="118" spans="2:12" ht="15.75" thickBot="1" x14ac:dyDescent="0.3">
      <c r="B118" s="246"/>
      <c r="C118" s="110"/>
      <c r="D118" s="897"/>
      <c r="E118" s="109"/>
      <c r="F118" s="897"/>
      <c r="G118" s="113" t="s">
        <v>174</v>
      </c>
      <c r="H118" s="157"/>
      <c r="I118" s="187">
        <f>SUM(I111:I117)</f>
        <v>0</v>
      </c>
      <c r="J118" s="161">
        <v>0</v>
      </c>
      <c r="K118" s="170">
        <v>0</v>
      </c>
      <c r="L118" s="1138"/>
    </row>
    <row r="119" spans="2:12" ht="7.5" customHeight="1" thickBot="1" x14ac:dyDescent="0.3">
      <c r="B119" s="246"/>
      <c r="C119" s="131"/>
      <c r="D119" s="130"/>
      <c r="E119" s="130"/>
      <c r="F119" s="132"/>
      <c r="G119" s="132"/>
      <c r="H119" s="132"/>
      <c r="I119" s="142"/>
      <c r="J119" s="142"/>
      <c r="K119" s="142"/>
      <c r="L119" s="1138"/>
    </row>
    <row r="120" spans="2:12" ht="15.75" thickBot="1" x14ac:dyDescent="0.3">
      <c r="B120" s="246"/>
      <c r="C120" s="173" t="s">
        <v>256</v>
      </c>
      <c r="D120" s="174"/>
      <c r="E120" s="174"/>
      <c r="F120" s="174"/>
      <c r="G120" s="174"/>
      <c r="H120" s="174"/>
      <c r="I120" s="165">
        <f>I29+I48+I64+I69+I77+I88+I94+I108+I118</f>
        <v>16215812</v>
      </c>
      <c r="J120" s="160">
        <f>J29+J48+J64+J69+J77+J88+J94+J108+J118</f>
        <v>0</v>
      </c>
      <c r="K120" s="172">
        <f>K29+K48+K64+K69+K77+K88+K94+K108+K118</f>
        <v>13799323</v>
      </c>
      <c r="L120" s="1138"/>
    </row>
    <row r="121" spans="2:12" ht="7.5" customHeight="1" x14ac:dyDescent="0.25">
      <c r="B121" s="246"/>
      <c r="C121" s="247"/>
      <c r="D121" s="247"/>
      <c r="E121" s="247"/>
      <c r="F121" s="247"/>
      <c r="G121" s="247"/>
      <c r="H121" s="247"/>
      <c r="I121" s="897"/>
      <c r="J121" s="897"/>
      <c r="K121" s="897"/>
      <c r="L121" s="1138"/>
    </row>
    <row r="122" spans="2:12" x14ac:dyDescent="0.25">
      <c r="B122" s="246"/>
      <c r="C122" s="2301" t="s">
        <v>257</v>
      </c>
      <c r="D122" s="2302"/>
      <c r="E122" s="2302"/>
      <c r="F122" s="2302"/>
      <c r="G122" s="2302"/>
      <c r="H122" s="2302"/>
      <c r="I122" s="2302"/>
      <c r="J122" s="2302"/>
      <c r="K122" s="2303"/>
      <c r="L122" s="1138"/>
    </row>
    <row r="123" spans="2:12" x14ac:dyDescent="0.25">
      <c r="B123" s="246"/>
      <c r="C123" s="2304"/>
      <c r="D123" s="2305"/>
      <c r="E123" s="2305"/>
      <c r="F123" s="2305"/>
      <c r="G123" s="2305"/>
      <c r="H123" s="2305"/>
      <c r="I123" s="2305"/>
      <c r="J123" s="2305"/>
      <c r="K123" s="2306"/>
      <c r="L123" s="1138"/>
    </row>
    <row r="124" spans="2:12" x14ac:dyDescent="0.25">
      <c r="B124" s="246"/>
      <c r="C124" s="2307"/>
      <c r="D124" s="2308"/>
      <c r="E124" s="2308"/>
      <c r="F124" s="2308"/>
      <c r="G124" s="2308"/>
      <c r="H124" s="2308"/>
      <c r="I124" s="2308"/>
      <c r="J124" s="2308"/>
      <c r="K124" s="2309"/>
      <c r="L124" s="1138"/>
    </row>
    <row r="125" spans="2:12" ht="9" customHeight="1" thickBot="1" x14ac:dyDescent="0.3">
      <c r="B125" s="1144"/>
      <c r="C125" s="1145"/>
      <c r="D125" s="1145"/>
      <c r="E125" s="1145"/>
      <c r="F125" s="1145"/>
      <c r="G125" s="1145"/>
      <c r="H125" s="1145"/>
      <c r="I125" s="1145"/>
      <c r="J125" s="1145"/>
      <c r="K125" s="1145"/>
      <c r="L125" s="1143"/>
    </row>
  </sheetData>
  <sheetProtection password="9F6B" sheet="1" objects="1" scenarios="1" formatCells="0" formatColumns="0" formatRows="0"/>
  <mergeCells count="14">
    <mergeCell ref="C122:K124"/>
    <mergeCell ref="C11:K11"/>
    <mergeCell ref="F13:K13"/>
    <mergeCell ref="I17:K17"/>
    <mergeCell ref="I18:I21"/>
    <mergeCell ref="J18:K18"/>
    <mergeCell ref="J19:J21"/>
    <mergeCell ref="K19:K21"/>
    <mergeCell ref="F15:K15"/>
    <mergeCell ref="E28:G28"/>
    <mergeCell ref="E47:G47"/>
    <mergeCell ref="E63:G63"/>
    <mergeCell ref="E87:G87"/>
    <mergeCell ref="E93:G93"/>
  </mergeCells>
  <pageMargins left="0.7" right="0.7" top="0.75" bottom="0.75" header="0.3" footer="0.3"/>
  <pageSetup scale="85" fitToHeight="0" orientation="portrait" r:id="rId1"/>
  <headerFooter>
    <oddFooter>&amp;LForm 6C(b)
LIHTC Budget (Basis Calculation)&amp;CCFA Forms&amp;REdition: 2015
Version: 1.1</oddFooter>
  </headerFooter>
  <rowBreaks count="2" manualBreakCount="2">
    <brk id="65" min="1" max="11" man="1"/>
    <brk id="109"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5:H55"/>
  <sheetViews>
    <sheetView showGridLines="0" topLeftCell="B1" zoomScaleNormal="100" workbookViewId="0">
      <selection activeCell="L52" sqref="L52"/>
    </sheetView>
  </sheetViews>
  <sheetFormatPr defaultRowHeight="15" x14ac:dyDescent="0.25"/>
  <cols>
    <col min="1" max="2" width="1.7109375" style="844" customWidth="1"/>
    <col min="3" max="3" width="2.85546875" style="844" customWidth="1"/>
    <col min="4" max="4" width="14.28515625" style="844" customWidth="1"/>
    <col min="5" max="5" width="48.42578125" style="844" customWidth="1"/>
    <col min="6" max="7" width="11.42578125" style="844" customWidth="1"/>
    <col min="8" max="8" width="1.7109375" style="844" customWidth="1"/>
    <col min="9" max="16384" width="9.140625" style="844"/>
  </cols>
  <sheetData>
    <row r="5" spans="2:8" ht="9" customHeight="1" thickBot="1" x14ac:dyDescent="0.3"/>
    <row r="6" spans="2:8" ht="9" customHeight="1" x14ac:dyDescent="0.25">
      <c r="B6" s="1146"/>
      <c r="C6" s="1147"/>
      <c r="D6" s="1147"/>
      <c r="E6" s="1148"/>
      <c r="F6" s="1148"/>
      <c r="G6" s="1148"/>
      <c r="H6" s="1149"/>
    </row>
    <row r="7" spans="2:8" ht="18.75" x14ac:dyDescent="0.3">
      <c r="B7" s="1150"/>
      <c r="C7" s="2330" t="s">
        <v>1381</v>
      </c>
      <c r="D7" s="2330"/>
      <c r="E7" s="2330"/>
      <c r="F7" s="2330"/>
      <c r="G7" s="2330"/>
      <c r="H7" s="1151"/>
    </row>
    <row r="8" spans="2:8" x14ac:dyDescent="0.25">
      <c r="B8" s="1150"/>
      <c r="C8" s="1152"/>
      <c r="D8" s="1152"/>
      <c r="E8" s="1153"/>
      <c r="F8" s="1153"/>
      <c r="G8" s="1153"/>
      <c r="H8" s="1151"/>
    </row>
    <row r="9" spans="2:8" x14ac:dyDescent="0.25">
      <c r="B9" s="1150"/>
      <c r="C9" s="1152"/>
      <c r="D9" s="1154" t="s">
        <v>1</v>
      </c>
      <c r="E9" s="1803" t="str">
        <f>IF('1A'!G5="","Enter Project Name on Form 1A",'1A'!G5)</f>
        <v>University District Apartments</v>
      </c>
      <c r="F9" s="1803"/>
      <c r="G9" s="1121"/>
      <c r="H9" s="1155"/>
    </row>
    <row r="10" spans="2:8" ht="3.75" customHeight="1" x14ac:dyDescent="0.25">
      <c r="B10" s="1150"/>
      <c r="C10" s="1152"/>
      <c r="D10" s="1152"/>
      <c r="E10" s="274"/>
      <c r="F10" s="276"/>
      <c r="G10" s="277"/>
      <c r="H10" s="1156"/>
    </row>
    <row r="11" spans="2:8" x14ac:dyDescent="0.25">
      <c r="B11" s="1150"/>
      <c r="C11" s="1152"/>
      <c r="D11" s="1154" t="s">
        <v>1397</v>
      </c>
      <c r="E11" s="1822" t="str">
        <f>IF('1A'!G44="","Enter Site Name on Form 1A",'1A'!G44)</f>
        <v>Project B - 9%</v>
      </c>
      <c r="F11" s="1822"/>
      <c r="G11" s="1121"/>
      <c r="H11" s="1155"/>
    </row>
    <row r="12" spans="2:8" ht="7.5" customHeight="1" x14ac:dyDescent="0.25">
      <c r="B12" s="1150"/>
      <c r="C12" s="1152"/>
      <c r="D12" s="1152"/>
      <c r="E12" s="274"/>
      <c r="F12" s="276"/>
      <c r="G12" s="277"/>
      <c r="H12" s="1156"/>
    </row>
    <row r="13" spans="2:8" x14ac:dyDescent="0.25">
      <c r="B13" s="1150"/>
      <c r="C13" s="274" t="s">
        <v>258</v>
      </c>
      <c r="D13" s="274"/>
      <c r="E13" s="1157"/>
      <c r="F13" s="276"/>
      <c r="G13" s="277"/>
      <c r="H13" s="1156"/>
    </row>
    <row r="14" spans="2:8" ht="30" customHeight="1" x14ac:dyDescent="0.25">
      <c r="B14" s="1150"/>
      <c r="C14" s="1152"/>
      <c r="D14" s="2324" t="s">
        <v>259</v>
      </c>
      <c r="E14" s="2324"/>
      <c r="F14" s="1611" t="s">
        <v>1408</v>
      </c>
      <c r="H14" s="1156"/>
    </row>
    <row r="15" spans="2:8" ht="15.75" thickBot="1" x14ac:dyDescent="0.3">
      <c r="B15" s="1150"/>
      <c r="C15" s="1152"/>
      <c r="D15" s="1152"/>
      <c r="E15" s="274"/>
      <c r="F15" s="276"/>
      <c r="G15" s="276"/>
      <c r="H15" s="1156"/>
    </row>
    <row r="16" spans="2:8" ht="36.75" thickBot="1" x14ac:dyDescent="0.3">
      <c r="B16" s="1150"/>
      <c r="C16" s="1152"/>
      <c r="D16" s="1152"/>
      <c r="E16" s="274"/>
      <c r="F16" s="278" t="s">
        <v>23</v>
      </c>
      <c r="G16" s="279" t="s">
        <v>252</v>
      </c>
      <c r="H16" s="1156"/>
    </row>
    <row r="17" spans="2:8" ht="15.75" thickBot="1" x14ac:dyDescent="0.3">
      <c r="B17" s="1150"/>
      <c r="C17" s="280" t="s">
        <v>260</v>
      </c>
      <c r="D17" s="280"/>
      <c r="E17" s="281"/>
      <c r="F17" s="1158"/>
      <c r="G17" s="1158"/>
      <c r="H17" s="1156"/>
    </row>
    <row r="18" spans="2:8" x14ac:dyDescent="0.25">
      <c r="B18" s="1150"/>
      <c r="C18" s="274"/>
      <c r="D18" s="282" t="s">
        <v>261</v>
      </c>
      <c r="E18" s="1157"/>
      <c r="F18" s="283">
        <f>'6C -9%'!J120</f>
        <v>0</v>
      </c>
      <c r="G18" s="284">
        <f>'6C -9%'!K120</f>
        <v>13799323</v>
      </c>
      <c r="H18" s="1156"/>
    </row>
    <row r="19" spans="2:8" x14ac:dyDescent="0.25">
      <c r="B19" s="1150"/>
      <c r="C19" s="274"/>
      <c r="D19" s="275" t="s">
        <v>262</v>
      </c>
      <c r="E19" s="1157"/>
      <c r="F19" s="1612"/>
      <c r="G19" s="1159"/>
      <c r="H19" s="1156"/>
    </row>
    <row r="20" spans="2:8" x14ac:dyDescent="0.25">
      <c r="B20" s="1150"/>
      <c r="C20" s="274"/>
      <c r="D20" s="275" t="s">
        <v>263</v>
      </c>
      <c r="E20" s="1157"/>
      <c r="F20" s="1612"/>
      <c r="G20" s="1614"/>
      <c r="H20" s="1156"/>
    </row>
    <row r="21" spans="2:8" ht="30" customHeight="1" x14ac:dyDescent="0.25">
      <c r="B21" s="1150"/>
      <c r="C21" s="274"/>
      <c r="D21" s="2324" t="s">
        <v>264</v>
      </c>
      <c r="E21" s="2325"/>
      <c r="F21" s="1612"/>
      <c r="G21" s="1614"/>
      <c r="H21" s="1156"/>
    </row>
    <row r="22" spans="2:8" x14ac:dyDescent="0.25">
      <c r="B22" s="1150"/>
      <c r="C22" s="274"/>
      <c r="D22" s="285" t="s">
        <v>265</v>
      </c>
      <c r="E22" s="1160"/>
      <c r="F22" s="1613"/>
      <c r="G22" s="1615"/>
      <c r="H22" s="1156"/>
    </row>
    <row r="23" spans="2:8" ht="15.75" thickBot="1" x14ac:dyDescent="0.3">
      <c r="B23" s="1150"/>
      <c r="C23" s="274"/>
      <c r="D23" s="282" t="s">
        <v>266</v>
      </c>
      <c r="E23" s="1157"/>
      <c r="F23" s="286">
        <f>F18-(SUM(F19:F22))</f>
        <v>0</v>
      </c>
      <c r="G23" s="287">
        <f>G18-(SUM(G20:G22))</f>
        <v>13799323</v>
      </c>
      <c r="H23" s="1156"/>
    </row>
    <row r="24" spans="2:8" ht="15.75" thickBot="1" x14ac:dyDescent="0.3">
      <c r="B24" s="1150"/>
      <c r="C24" s="274"/>
      <c r="D24" s="275"/>
      <c r="E24" s="1157"/>
      <c r="F24" s="277"/>
      <c r="G24" s="276"/>
      <c r="H24" s="1156"/>
    </row>
    <row r="25" spans="2:8" x14ac:dyDescent="0.25">
      <c r="B25" s="1150"/>
      <c r="C25" s="274"/>
      <c r="D25" s="276" t="s">
        <v>266</v>
      </c>
      <c r="E25" s="1157"/>
      <c r="F25" s="288">
        <f>F23</f>
        <v>0</v>
      </c>
      <c r="G25" s="289">
        <f>G23</f>
        <v>13799323</v>
      </c>
      <c r="H25" s="1156"/>
    </row>
    <row r="26" spans="2:8" x14ac:dyDescent="0.25">
      <c r="B26" s="1150"/>
      <c r="C26" s="274"/>
      <c r="D26" s="276" t="s">
        <v>267</v>
      </c>
      <c r="E26" s="1157"/>
      <c r="F26" s="1768">
        <v>1</v>
      </c>
      <c r="G26" s="1769">
        <f>IF(F14="Yes",130%,100%)</f>
        <v>1.3</v>
      </c>
      <c r="H26" s="1156"/>
    </row>
    <row r="27" spans="2:8" x14ac:dyDescent="0.25">
      <c r="B27" s="1150"/>
      <c r="C27" s="274"/>
      <c r="D27" s="290" t="s">
        <v>268</v>
      </c>
      <c r="E27" s="1160"/>
      <c r="F27" s="2056">
        <v>1</v>
      </c>
      <c r="G27" s="2057">
        <v>1.3</v>
      </c>
      <c r="H27" s="1156"/>
    </row>
    <row r="28" spans="2:8" ht="15.75" thickBot="1" x14ac:dyDescent="0.3">
      <c r="B28" s="1150"/>
      <c r="C28" s="274"/>
      <c r="D28" s="291" t="s">
        <v>269</v>
      </c>
      <c r="E28" s="1157"/>
      <c r="F28" s="292">
        <f>(F25*F26)*F27</f>
        <v>0</v>
      </c>
      <c r="G28" s="293">
        <f>(G25*G26)*G27</f>
        <v>23320855.870000005</v>
      </c>
      <c r="H28" s="1156"/>
    </row>
    <row r="29" spans="2:8" ht="15.75" thickBot="1" x14ac:dyDescent="0.3">
      <c r="B29" s="1150"/>
      <c r="C29" s="274"/>
      <c r="D29" s="275"/>
      <c r="E29" s="1157"/>
      <c r="F29" s="276"/>
      <c r="G29" s="276"/>
      <c r="H29" s="1156"/>
    </row>
    <row r="30" spans="2:8" x14ac:dyDescent="0.25">
      <c r="B30" s="1150"/>
      <c r="C30" s="274"/>
      <c r="D30" s="275" t="s">
        <v>269</v>
      </c>
      <c r="E30" s="1157"/>
      <c r="F30" s="288">
        <f>F28</f>
        <v>0</v>
      </c>
      <c r="G30" s="289">
        <f>G28</f>
        <v>23320855.870000005</v>
      </c>
      <c r="H30" s="1156"/>
    </row>
    <row r="31" spans="2:8" x14ac:dyDescent="0.25">
      <c r="B31" s="1150"/>
      <c r="C31" s="274"/>
      <c r="D31" s="285" t="s">
        <v>270</v>
      </c>
      <c r="E31" s="1157"/>
      <c r="F31" s="2060">
        <v>3.2199999999999999E-2</v>
      </c>
      <c r="G31" s="2055">
        <v>7.51E-2</v>
      </c>
      <c r="H31" s="1156"/>
    </row>
    <row r="32" spans="2:8" ht="15.75" thickBot="1" x14ac:dyDescent="0.3">
      <c r="B32" s="1150"/>
      <c r="C32" s="274"/>
      <c r="D32" s="282" t="s">
        <v>271</v>
      </c>
      <c r="E32" s="1157"/>
      <c r="F32" s="286">
        <f>F30*F31</f>
        <v>0</v>
      </c>
      <c r="G32" s="287">
        <f>G30*G31</f>
        <v>1751396.2758370005</v>
      </c>
      <c r="H32" s="1156"/>
    </row>
    <row r="33" spans="2:8" ht="15" customHeight="1" thickBot="1" x14ac:dyDescent="0.3">
      <c r="B33" s="1150"/>
      <c r="C33" s="274"/>
      <c r="D33" s="275"/>
      <c r="E33" s="1157"/>
      <c r="F33" s="276"/>
      <c r="G33" s="276"/>
      <c r="H33" s="1156"/>
    </row>
    <row r="34" spans="2:8" ht="15.75" thickBot="1" x14ac:dyDescent="0.3">
      <c r="B34" s="1150"/>
      <c r="C34" s="274"/>
      <c r="D34" s="282" t="s">
        <v>650</v>
      </c>
      <c r="E34" s="1157"/>
      <c r="F34" s="276"/>
      <c r="G34" s="294">
        <f>F32+G32</f>
        <v>1751396.2758370005</v>
      </c>
      <c r="H34" s="1156"/>
    </row>
    <row r="35" spans="2:8" x14ac:dyDescent="0.25">
      <c r="B35" s="1150"/>
      <c r="C35" s="274"/>
      <c r="D35" s="274"/>
      <c r="E35" s="275"/>
      <c r="F35" s="276"/>
      <c r="G35" s="276"/>
      <c r="H35" s="1156"/>
    </row>
    <row r="36" spans="2:8" ht="15.75" thickBot="1" x14ac:dyDescent="0.3">
      <c r="B36" s="1150"/>
      <c r="C36" s="295" t="s">
        <v>272</v>
      </c>
      <c r="D36" s="295"/>
      <c r="E36" s="296"/>
      <c r="F36" s="297"/>
      <c r="G36" s="298"/>
      <c r="H36" s="1156"/>
    </row>
    <row r="37" spans="2:8" x14ac:dyDescent="0.25">
      <c r="B37" s="1150"/>
      <c r="C37" s="274"/>
      <c r="D37" s="275" t="s">
        <v>728</v>
      </c>
      <c r="E37" s="1157"/>
      <c r="F37" s="276"/>
      <c r="G37" s="299">
        <f>'6A - 9%'!K118</f>
        <v>16215812</v>
      </c>
      <c r="H37" s="300"/>
    </row>
    <row r="38" spans="2:8" x14ac:dyDescent="0.25">
      <c r="B38" s="1150"/>
      <c r="C38" s="274"/>
      <c r="D38" s="285" t="s">
        <v>651</v>
      </c>
      <c r="E38" s="1161"/>
      <c r="F38" s="765"/>
      <c r="G38" s="301">
        <f>-('7A - 9%'!F32)</f>
        <v>-5236809</v>
      </c>
      <c r="H38" s="1156"/>
    </row>
    <row r="39" spans="2:8" ht="15.75" thickBot="1" x14ac:dyDescent="0.3">
      <c r="B39" s="1150"/>
      <c r="C39" s="274"/>
      <c r="D39" s="282" t="s">
        <v>273</v>
      </c>
      <c r="E39" s="1157"/>
      <c r="F39" s="291"/>
      <c r="G39" s="302">
        <f>G37+G38</f>
        <v>10979003</v>
      </c>
      <c r="H39" s="1156"/>
    </row>
    <row r="40" spans="2:8" ht="15.75" thickBot="1" x14ac:dyDescent="0.3">
      <c r="B40" s="1150"/>
      <c r="C40" s="274"/>
      <c r="D40" s="275"/>
      <c r="E40" s="1157"/>
      <c r="F40" s="276"/>
      <c r="G40" s="277"/>
      <c r="H40" s="1156"/>
    </row>
    <row r="41" spans="2:8" x14ac:dyDescent="0.25">
      <c r="B41" s="1150"/>
      <c r="C41" s="274"/>
      <c r="D41" s="275" t="s">
        <v>273</v>
      </c>
      <c r="E41" s="1157"/>
      <c r="F41" s="276"/>
      <c r="G41" s="303">
        <f>G39</f>
        <v>10979003</v>
      </c>
      <c r="H41" s="1156"/>
    </row>
    <row r="42" spans="2:8" ht="15.75" thickBot="1" x14ac:dyDescent="0.3">
      <c r="B42" s="1150"/>
      <c r="C42" s="274"/>
      <c r="D42" s="275" t="s">
        <v>652</v>
      </c>
      <c r="E42" s="1157"/>
      <c r="F42" s="276"/>
      <c r="G42" s="1766">
        <v>1.01</v>
      </c>
      <c r="H42" s="1156"/>
    </row>
    <row r="43" spans="2:8" ht="15.75" thickBot="1" x14ac:dyDescent="0.3">
      <c r="B43" s="1150"/>
      <c r="C43" s="274"/>
      <c r="D43" s="304" t="s">
        <v>274</v>
      </c>
      <c r="E43" s="1161"/>
      <c r="F43" s="290"/>
      <c r="G43" s="1767">
        <v>10</v>
      </c>
      <c r="H43" s="1156"/>
    </row>
    <row r="44" spans="2:8" ht="15.75" thickBot="1" x14ac:dyDescent="0.3">
      <c r="B44" s="1150"/>
      <c r="C44" s="274"/>
      <c r="D44" s="305" t="s">
        <v>275</v>
      </c>
      <c r="E44" s="1157"/>
      <c r="F44" s="276"/>
      <c r="G44" s="306">
        <f>G41/G42/G43</f>
        <v>1087030</v>
      </c>
      <c r="H44" s="1156"/>
    </row>
    <row r="45" spans="2:8" x14ac:dyDescent="0.25">
      <c r="B45" s="1150"/>
      <c r="C45" s="274"/>
      <c r="D45" s="274"/>
      <c r="E45" s="275"/>
      <c r="F45" s="276"/>
      <c r="G45" s="277"/>
      <c r="H45" s="1156"/>
    </row>
    <row r="46" spans="2:8" x14ac:dyDescent="0.25">
      <c r="B46" s="1150"/>
      <c r="C46" s="274" t="s">
        <v>276</v>
      </c>
      <c r="D46" s="274"/>
      <c r="E46" s="275"/>
      <c r="F46" s="276"/>
      <c r="G46" s="1616" t="s">
        <v>1408</v>
      </c>
      <c r="H46" s="1156"/>
    </row>
    <row r="47" spans="2:8" x14ac:dyDescent="0.25">
      <c r="B47" s="1150"/>
      <c r="C47" s="274"/>
      <c r="D47" s="274"/>
      <c r="E47" s="275"/>
      <c r="F47" s="276"/>
      <c r="G47" s="277"/>
      <c r="H47" s="1156"/>
    </row>
    <row r="48" spans="2:8" ht="15.75" thickBot="1" x14ac:dyDescent="0.3">
      <c r="B48" s="1150"/>
      <c r="C48" s="295" t="s">
        <v>277</v>
      </c>
      <c r="D48" s="295"/>
      <c r="E48" s="296"/>
      <c r="F48" s="297"/>
      <c r="G48" s="276"/>
      <c r="H48" s="307"/>
    </row>
    <row r="49" spans="2:8" x14ac:dyDescent="0.25">
      <c r="B49" s="1150"/>
      <c r="C49" s="274"/>
      <c r="D49" s="275" t="s">
        <v>278</v>
      </c>
      <c r="E49" s="1157"/>
      <c r="F49" s="276"/>
      <c r="G49" s="2059">
        <f>'1B - 9%'!L20</f>
        <v>53</v>
      </c>
      <c r="H49" s="307"/>
    </row>
    <row r="50" spans="2:8" x14ac:dyDescent="0.25">
      <c r="B50" s="1150"/>
      <c r="C50" s="274"/>
      <c r="D50" s="285" t="s">
        <v>1261</v>
      </c>
      <c r="E50" s="1161"/>
      <c r="F50" s="765"/>
      <c r="G50" s="301">
        <f>IF(G46="Yes",20510,15808)</f>
        <v>20510</v>
      </c>
      <c r="H50" s="307"/>
    </row>
    <row r="51" spans="2:8" ht="15.75" thickBot="1" x14ac:dyDescent="0.3">
      <c r="B51" s="1150"/>
      <c r="C51" s="274"/>
      <c r="D51" s="282" t="s">
        <v>279</v>
      </c>
      <c r="E51" s="1157"/>
      <c r="F51" s="276"/>
      <c r="G51" s="306">
        <f>G49*G50</f>
        <v>1087030</v>
      </c>
      <c r="H51" s="307"/>
    </row>
    <row r="52" spans="2:8" x14ac:dyDescent="0.25">
      <c r="B52" s="1150"/>
      <c r="C52" s="1152"/>
      <c r="D52" s="1152"/>
      <c r="E52" s="274"/>
      <c r="F52" s="276"/>
      <c r="G52" s="276"/>
      <c r="H52" s="300"/>
    </row>
    <row r="53" spans="2:8" ht="15.75" thickBot="1" x14ac:dyDescent="0.3">
      <c r="B53" s="1150"/>
      <c r="C53" s="1152"/>
      <c r="D53" s="1152"/>
      <c r="E53" s="274"/>
      <c r="F53" s="276"/>
      <c r="G53" s="276"/>
      <c r="H53" s="307"/>
    </row>
    <row r="54" spans="2:8" ht="16.5" thickTop="1" thickBot="1" x14ac:dyDescent="0.3">
      <c r="B54" s="1150"/>
      <c r="C54" s="1152"/>
      <c r="D54" s="1152"/>
      <c r="E54" s="308" t="s">
        <v>280</v>
      </c>
      <c r="F54" s="309"/>
      <c r="G54" s="310">
        <f>MIN(G34,G44,G51)</f>
        <v>1087030</v>
      </c>
      <c r="H54" s="1156"/>
    </row>
    <row r="55" spans="2:8" ht="9" customHeight="1" thickBot="1" x14ac:dyDescent="0.3">
      <c r="B55" s="1162"/>
      <c r="C55" s="1163"/>
      <c r="D55" s="1163"/>
      <c r="E55" s="2326"/>
      <c r="F55" s="2326"/>
      <c r="G55" s="2327"/>
      <c r="H55" s="1164"/>
    </row>
  </sheetData>
  <sheetProtection password="9F6B" sheet="1" objects="1" scenarios="1" formatCells="0" formatColumns="0" formatRows="0"/>
  <mergeCells count="4">
    <mergeCell ref="C7:G7"/>
    <mergeCell ref="D14:E14"/>
    <mergeCell ref="D21:E21"/>
    <mergeCell ref="E55:G55"/>
  </mergeCells>
  <conditionalFormatting sqref="G46">
    <cfRule type="cellIs" dxfId="14" priority="3" operator="equal">
      <formula>"Yes"</formula>
    </cfRule>
    <cfRule type="cellIs" dxfId="13" priority="4" operator="equal">
      <formula>"No"</formula>
    </cfRule>
  </conditionalFormatting>
  <conditionalFormatting sqref="F14">
    <cfRule type="cellIs" dxfId="12" priority="1" operator="equal">
      <formula>"Yes"</formula>
    </cfRule>
    <cfRule type="cellIs" dxfId="11" priority="2" operator="equal">
      <formula>"No"</formula>
    </cfRule>
  </conditionalFormatting>
  <dataValidations count="2">
    <dataValidation type="list" allowBlank="1" showInputMessage="1" showErrorMessage="1" sqref="G46">
      <formula1>"Yes,No"</formula1>
    </dataValidation>
    <dataValidation type="list" allowBlank="1" showInputMessage="1" showErrorMessage="1" promptTitle="Basis Boost" prompt="Select &quot;Yes&quot; or &quot;No&quot; for form to calculate correctly" sqref="F14">
      <formula1>"Yes,No"</formula1>
    </dataValidation>
  </dataValidations>
  <pageMargins left="0.7" right="0.4" top="0.7" bottom="0.7" header="0.3" footer="0.3"/>
  <pageSetup scale="90" orientation="portrait" r:id="rId1"/>
  <headerFooter>
    <oddFooter>&amp;LForm 6D(b)
LIHTC Calculation&amp;CCFA Forms&amp;REdition: 2015
Version: 1.1</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56"/>
  <sheetViews>
    <sheetView showGridLines="0" zoomScaleNormal="100" workbookViewId="0">
      <selection activeCell="V53" sqref="V53"/>
    </sheetView>
  </sheetViews>
  <sheetFormatPr defaultRowHeight="15" x14ac:dyDescent="0.25"/>
  <cols>
    <col min="1" max="2" width="1.7109375" style="838" customWidth="1"/>
    <col min="3" max="3" width="2.85546875" style="838" customWidth="1"/>
    <col min="4" max="4" width="14.28515625" style="838" customWidth="1"/>
    <col min="5" max="5" width="9.140625" style="838"/>
    <col min="6" max="6" width="4.28515625" style="838" customWidth="1"/>
    <col min="7" max="7" width="4.28515625" style="838" bestFit="1" customWidth="1"/>
    <col min="8" max="8" width="11.42578125" style="838" customWidth="1"/>
    <col min="9" max="9" width="16.85546875" style="838" customWidth="1"/>
    <col min="10" max="10" width="40.85546875" style="918" customWidth="1"/>
    <col min="11" max="11" width="1.7109375" style="918" customWidth="1"/>
    <col min="12" max="16384" width="9.140625" style="838"/>
  </cols>
  <sheetData>
    <row r="1" spans="2:11" ht="15.75" thickBot="1" x14ac:dyDescent="0.3"/>
    <row r="2" spans="2:11" s="918" customFormat="1" x14ac:dyDescent="0.25">
      <c r="B2" s="1168"/>
      <c r="C2" s="1395"/>
      <c r="D2" s="1395"/>
      <c r="E2" s="1395"/>
      <c r="F2" s="1395"/>
      <c r="G2" s="1395"/>
      <c r="H2" s="1395"/>
      <c r="I2" s="1395"/>
      <c r="J2" s="1395"/>
      <c r="K2" s="1169"/>
    </row>
    <row r="3" spans="2:11" s="918" customFormat="1" ht="18.75" x14ac:dyDescent="0.3">
      <c r="B3" s="1170"/>
      <c r="C3" s="2130" t="s">
        <v>1382</v>
      </c>
      <c r="D3" s="2130"/>
      <c r="E3" s="2130"/>
      <c r="F3" s="2130"/>
      <c r="G3" s="2130"/>
      <c r="H3" s="2130"/>
      <c r="I3" s="2130"/>
      <c r="J3" s="2130"/>
      <c r="K3" s="1171"/>
    </row>
    <row r="4" spans="2:11" s="918" customFormat="1" x14ac:dyDescent="0.25">
      <c r="B4" s="1170"/>
      <c r="C4" s="942"/>
      <c r="D4" s="942"/>
      <c r="E4" s="942"/>
      <c r="F4" s="942"/>
      <c r="G4" s="942"/>
      <c r="H4" s="942"/>
      <c r="I4" s="942"/>
      <c r="J4" s="942"/>
      <c r="K4" s="1171"/>
    </row>
    <row r="5" spans="2:11" s="918" customFormat="1" x14ac:dyDescent="0.25">
      <c r="B5" s="1170"/>
      <c r="C5" s="821"/>
      <c r="D5" s="257" t="s">
        <v>1</v>
      </c>
      <c r="E5" s="1803" t="str">
        <f>IF('1A'!G5="","Enter Project Name on Form 1A",'1A'!G5)</f>
        <v>University District Apartments</v>
      </c>
      <c r="F5" s="1805"/>
      <c r="G5" s="1805"/>
      <c r="H5" s="1805"/>
      <c r="I5" s="1805"/>
      <c r="J5" s="1805"/>
      <c r="K5" s="1171"/>
    </row>
    <row r="6" spans="2:11" s="918" customFormat="1" ht="3.75" customHeight="1" x14ac:dyDescent="0.25">
      <c r="B6" s="1170"/>
      <c r="C6" s="942"/>
      <c r="D6" s="942"/>
      <c r="E6" s="942"/>
      <c r="F6" s="942"/>
      <c r="G6" s="942"/>
      <c r="H6" s="942"/>
      <c r="I6" s="942"/>
      <c r="J6" s="942"/>
      <c r="K6" s="1171"/>
    </row>
    <row r="7" spans="2:11" s="918" customFormat="1" x14ac:dyDescent="0.25">
      <c r="B7" s="1170"/>
      <c r="C7" s="821"/>
      <c r="D7" s="257" t="s">
        <v>1397</v>
      </c>
      <c r="E7" s="1822" t="str">
        <f>IF('1A'!G44="","Enter Site Name on Form 1A",'1A'!G44)</f>
        <v>Project B - 9%</v>
      </c>
      <c r="F7" s="1826"/>
      <c r="G7" s="1826"/>
      <c r="H7" s="1826"/>
      <c r="I7" s="1826"/>
      <c r="J7" s="1826"/>
      <c r="K7" s="1171"/>
    </row>
    <row r="8" spans="2:11" s="918" customFormat="1" ht="7.5" customHeight="1" thickBot="1" x14ac:dyDescent="0.3">
      <c r="B8" s="1170"/>
      <c r="C8" s="942"/>
      <c r="D8" s="942"/>
      <c r="E8" s="942"/>
      <c r="F8" s="942"/>
      <c r="G8" s="942"/>
      <c r="H8" s="942"/>
      <c r="I8" s="942"/>
      <c r="J8" s="942"/>
      <c r="K8" s="1171"/>
    </row>
    <row r="9" spans="2:11" s="918" customFormat="1" ht="15.75" thickBot="1" x14ac:dyDescent="0.3">
      <c r="B9" s="1170"/>
      <c r="C9" s="1172" t="s">
        <v>281</v>
      </c>
      <c r="D9" s="1647"/>
      <c r="E9" s="1647"/>
      <c r="F9" s="1633" t="s">
        <v>282</v>
      </c>
      <c r="G9" s="1634" t="s">
        <v>283</v>
      </c>
      <c r="H9" s="1634" t="s">
        <v>284</v>
      </c>
      <c r="I9" s="1634" t="s">
        <v>96</v>
      </c>
      <c r="J9" s="1632" t="s">
        <v>285</v>
      </c>
      <c r="K9" s="1398"/>
    </row>
    <row r="10" spans="2:11" s="918" customFormat="1" ht="15.75" thickBot="1" x14ac:dyDescent="0.3">
      <c r="B10" s="1170"/>
      <c r="C10" s="1173" t="s">
        <v>286</v>
      </c>
      <c r="D10" s="1173"/>
      <c r="E10" s="1173"/>
      <c r="F10" s="247"/>
      <c r="G10" s="247"/>
      <c r="H10" s="247"/>
      <c r="I10" s="942"/>
      <c r="J10" s="942"/>
      <c r="K10" s="1171"/>
    </row>
    <row r="11" spans="2:11" s="918" customFormat="1" ht="15.75" thickBot="1" x14ac:dyDescent="0.3">
      <c r="B11" s="1170"/>
      <c r="C11" s="133"/>
      <c r="D11" s="133" t="s">
        <v>287</v>
      </c>
      <c r="E11" s="133"/>
      <c r="F11" s="1645"/>
      <c r="G11" s="1646"/>
      <c r="H11" s="1646"/>
      <c r="I11" s="1617">
        <f>F11*H11</f>
        <v>0</v>
      </c>
      <c r="J11" s="1618"/>
      <c r="K11" s="1171"/>
    </row>
    <row r="12" spans="2:11" s="918" customFormat="1" ht="15.75" thickBot="1" x14ac:dyDescent="0.3">
      <c r="B12" s="1170"/>
      <c r="C12" s="133"/>
      <c r="D12" s="133"/>
      <c r="E12" s="133"/>
      <c r="F12" s="1174"/>
      <c r="G12" s="1174"/>
      <c r="H12" s="1175"/>
      <c r="I12" s="1619">
        <f>I11</f>
        <v>0</v>
      </c>
      <c r="J12" s="1620"/>
      <c r="K12" s="1171"/>
    </row>
    <row r="13" spans="2:11" s="918" customFormat="1" ht="3.75" customHeight="1" x14ac:dyDescent="0.25">
      <c r="B13" s="1170"/>
      <c r="C13" s="133"/>
      <c r="D13" s="133"/>
      <c r="E13" s="133"/>
      <c r="F13" s="247"/>
      <c r="G13" s="247"/>
      <c r="H13" s="247"/>
      <c r="I13" s="942"/>
      <c r="J13" s="942"/>
      <c r="K13" s="1171"/>
    </row>
    <row r="14" spans="2:11" s="918" customFormat="1" ht="15.75" thickBot="1" x14ac:dyDescent="0.3">
      <c r="B14" s="1170"/>
      <c r="C14" s="1173" t="s">
        <v>288</v>
      </c>
      <c r="D14" s="1173"/>
      <c r="E14" s="1173"/>
      <c r="F14" s="247"/>
      <c r="G14" s="247"/>
      <c r="H14" s="247"/>
      <c r="I14" s="942"/>
      <c r="J14" s="942"/>
      <c r="K14" s="1171"/>
    </row>
    <row r="15" spans="2:11" s="918" customFormat="1" x14ac:dyDescent="0.25">
      <c r="B15" s="1170"/>
      <c r="C15" s="133"/>
      <c r="D15" s="133" t="s">
        <v>289</v>
      </c>
      <c r="E15" s="133"/>
      <c r="F15" s="1635">
        <v>1</v>
      </c>
      <c r="G15" s="1636"/>
      <c r="H15" s="1636">
        <v>15964</v>
      </c>
      <c r="I15" s="1621">
        <f t="shared" ref="I15:I22" si="0">F15*H15</f>
        <v>15964</v>
      </c>
      <c r="J15" s="1622"/>
      <c r="K15" s="1171"/>
    </row>
    <row r="16" spans="2:11" s="918" customFormat="1" x14ac:dyDescent="0.25">
      <c r="B16" s="1170"/>
      <c r="C16" s="133"/>
      <c r="D16" s="133" t="s">
        <v>290</v>
      </c>
      <c r="E16" s="133"/>
      <c r="F16" s="1637"/>
      <c r="G16" s="1638"/>
      <c r="H16" s="1638"/>
      <c r="I16" s="1623">
        <f t="shared" si="0"/>
        <v>0</v>
      </c>
      <c r="J16" s="1624"/>
      <c r="K16" s="1171"/>
    </row>
    <row r="17" spans="2:11" s="918" customFormat="1" x14ac:dyDescent="0.25">
      <c r="B17" s="1170"/>
      <c r="C17" s="133"/>
      <c r="D17" s="133" t="s">
        <v>291</v>
      </c>
      <c r="E17" s="133"/>
      <c r="F17" s="1637"/>
      <c r="G17" s="1638"/>
      <c r="H17" s="1638"/>
      <c r="I17" s="1623">
        <f t="shared" si="0"/>
        <v>0</v>
      </c>
      <c r="J17" s="1624"/>
      <c r="K17" s="1171"/>
    </row>
    <row r="18" spans="2:11" s="918" customFormat="1" x14ac:dyDescent="0.25">
      <c r="B18" s="1170"/>
      <c r="C18" s="133"/>
      <c r="D18" s="133" t="s">
        <v>112</v>
      </c>
      <c r="E18" s="133"/>
      <c r="F18" s="1637"/>
      <c r="G18" s="1638"/>
      <c r="H18" s="1638"/>
      <c r="I18" s="1623">
        <f t="shared" si="0"/>
        <v>0</v>
      </c>
      <c r="J18" s="1624"/>
      <c r="K18" s="1171"/>
    </row>
    <row r="19" spans="2:11" s="918" customFormat="1" x14ac:dyDescent="0.25">
      <c r="B19" s="1170"/>
      <c r="C19" s="133"/>
      <c r="D19" s="133" t="s">
        <v>292</v>
      </c>
      <c r="E19" s="133"/>
      <c r="F19" s="1637"/>
      <c r="G19" s="1638"/>
      <c r="H19" s="1638"/>
      <c r="I19" s="1623">
        <f t="shared" si="0"/>
        <v>0</v>
      </c>
      <c r="J19" s="1624"/>
      <c r="K19" s="1171"/>
    </row>
    <row r="20" spans="2:11" s="918" customFormat="1" x14ac:dyDescent="0.25">
      <c r="B20" s="1170"/>
      <c r="C20" s="133"/>
      <c r="D20" s="133" t="s">
        <v>293</v>
      </c>
      <c r="E20" s="133"/>
      <c r="F20" s="1637"/>
      <c r="G20" s="1638"/>
      <c r="H20" s="1638"/>
      <c r="I20" s="1623">
        <f t="shared" si="0"/>
        <v>0</v>
      </c>
      <c r="J20" s="1624"/>
      <c r="K20" s="1171"/>
    </row>
    <row r="21" spans="2:11" s="918" customFormat="1" x14ac:dyDescent="0.25">
      <c r="B21" s="1170"/>
      <c r="C21" s="133"/>
      <c r="D21" s="133" t="s">
        <v>247</v>
      </c>
      <c r="E21" s="133"/>
      <c r="F21" s="1637"/>
      <c r="G21" s="1638"/>
      <c r="H21" s="1638"/>
      <c r="I21" s="1623">
        <f t="shared" si="0"/>
        <v>0</v>
      </c>
      <c r="J21" s="1624"/>
      <c r="K21" s="1171"/>
    </row>
    <row r="22" spans="2:11" s="918" customFormat="1" ht="15.75" thickBot="1" x14ac:dyDescent="0.3">
      <c r="B22" s="1170"/>
      <c r="C22" s="133"/>
      <c r="D22" s="133" t="s">
        <v>294</v>
      </c>
      <c r="E22" s="133"/>
      <c r="F22" s="1639"/>
      <c r="G22" s="1640"/>
      <c r="H22" s="1640"/>
      <c r="I22" s="1625">
        <f t="shared" si="0"/>
        <v>0</v>
      </c>
      <c r="J22" s="1626"/>
      <c r="K22" s="1171"/>
    </row>
    <row r="23" spans="2:11" s="918" customFormat="1" ht="15.75" thickBot="1" x14ac:dyDescent="0.3">
      <c r="B23" s="1170"/>
      <c r="C23" s="133"/>
      <c r="D23" s="133"/>
      <c r="E23" s="133"/>
      <c r="F23" s="1174"/>
      <c r="G23" s="1174"/>
      <c r="H23" s="1176" t="s">
        <v>174</v>
      </c>
      <c r="I23" s="1627">
        <f>SUM(I15:I22)</f>
        <v>15964</v>
      </c>
      <c r="J23" s="1628"/>
      <c r="K23" s="1171"/>
    </row>
    <row r="24" spans="2:11" s="918" customFormat="1" ht="3.75" customHeight="1" x14ac:dyDescent="0.25">
      <c r="B24" s="1170"/>
      <c r="C24" s="133"/>
      <c r="D24" s="133"/>
      <c r="E24" s="133"/>
      <c r="F24" s="247"/>
      <c r="G24" s="247"/>
      <c r="H24" s="247"/>
      <c r="I24" s="942"/>
      <c r="J24" s="942"/>
      <c r="K24" s="1171"/>
    </row>
    <row r="25" spans="2:11" s="918" customFormat="1" ht="15.75" thickBot="1" x14ac:dyDescent="0.3">
      <c r="B25" s="1170"/>
      <c r="C25" s="1173" t="s">
        <v>295</v>
      </c>
      <c r="D25" s="1173"/>
      <c r="E25" s="1173"/>
      <c r="F25" s="247"/>
      <c r="G25" s="247"/>
      <c r="H25" s="247"/>
      <c r="I25" s="942"/>
      <c r="J25" s="942"/>
      <c r="K25" s="1171"/>
    </row>
    <row r="26" spans="2:11" s="918" customFormat="1" x14ac:dyDescent="0.25">
      <c r="B26" s="1170"/>
      <c r="C26" s="133"/>
      <c r="D26" s="133" t="s">
        <v>296</v>
      </c>
      <c r="E26" s="133"/>
      <c r="F26" s="1635">
        <v>1</v>
      </c>
      <c r="G26" s="1636"/>
      <c r="H26" s="1636">
        <f>51884+10582</f>
        <v>62466</v>
      </c>
      <c r="I26" s="1621">
        <f t="shared" ref="I26:I33" si="1">F26*H26</f>
        <v>62466</v>
      </c>
      <c r="J26" s="1622"/>
      <c r="K26" s="1171"/>
    </row>
    <row r="27" spans="2:11" s="918" customFormat="1" x14ac:dyDescent="0.25">
      <c r="B27" s="1170"/>
      <c r="C27" s="133"/>
      <c r="D27" s="133" t="s">
        <v>297</v>
      </c>
      <c r="E27" s="133"/>
      <c r="F27" s="1637"/>
      <c r="G27" s="1638"/>
      <c r="H27" s="1638"/>
      <c r="I27" s="1623">
        <f t="shared" si="1"/>
        <v>0</v>
      </c>
      <c r="J27" s="1624"/>
      <c r="K27" s="1171"/>
    </row>
    <row r="28" spans="2:11" s="918" customFormat="1" x14ac:dyDescent="0.25">
      <c r="B28" s="1170"/>
      <c r="C28" s="133"/>
      <c r="D28" s="133" t="s">
        <v>298</v>
      </c>
      <c r="E28" s="133"/>
      <c r="F28" s="1637"/>
      <c r="G28" s="1638"/>
      <c r="H28" s="1638"/>
      <c r="I28" s="1623">
        <f t="shared" si="1"/>
        <v>0</v>
      </c>
      <c r="J28" s="1624"/>
      <c r="K28" s="1171"/>
    </row>
    <row r="29" spans="2:11" s="918" customFormat="1" x14ac:dyDescent="0.25">
      <c r="B29" s="1170"/>
      <c r="C29" s="133"/>
      <c r="D29" s="133" t="s">
        <v>299</v>
      </c>
      <c r="E29" s="133"/>
      <c r="F29" s="1643"/>
      <c r="G29" s="1644"/>
      <c r="H29" s="1644"/>
      <c r="I29" s="1623">
        <f t="shared" si="1"/>
        <v>0</v>
      </c>
      <c r="J29" s="1629"/>
      <c r="K29" s="1171"/>
    </row>
    <row r="30" spans="2:11" s="918" customFormat="1" x14ac:dyDescent="0.25">
      <c r="B30" s="1170"/>
      <c r="C30" s="133"/>
      <c r="D30" s="133" t="s">
        <v>300</v>
      </c>
      <c r="E30" s="133"/>
      <c r="F30" s="1637"/>
      <c r="G30" s="1638"/>
      <c r="H30" s="1638"/>
      <c r="I30" s="1623">
        <f t="shared" si="1"/>
        <v>0</v>
      </c>
      <c r="J30" s="1624"/>
      <c r="K30" s="1171"/>
    </row>
    <row r="31" spans="2:11" s="918" customFormat="1" x14ac:dyDescent="0.25">
      <c r="B31" s="1170"/>
      <c r="C31" s="133"/>
      <c r="D31" s="133" t="s">
        <v>301</v>
      </c>
      <c r="E31" s="133"/>
      <c r="F31" s="1637"/>
      <c r="G31" s="1638"/>
      <c r="H31" s="1638"/>
      <c r="I31" s="1623">
        <f t="shared" si="1"/>
        <v>0</v>
      </c>
      <c r="J31" s="1624"/>
      <c r="K31" s="1171"/>
    </row>
    <row r="32" spans="2:11" s="918" customFormat="1" x14ac:dyDescent="0.25">
      <c r="B32" s="1170"/>
      <c r="C32" s="133"/>
      <c r="D32" s="133" t="s">
        <v>302</v>
      </c>
      <c r="E32" s="133"/>
      <c r="F32" s="1637"/>
      <c r="G32" s="1638"/>
      <c r="H32" s="1638"/>
      <c r="I32" s="1623">
        <f t="shared" si="1"/>
        <v>0</v>
      </c>
      <c r="J32" s="1624"/>
      <c r="K32" s="1171"/>
    </row>
    <row r="33" spans="1:11" s="918" customFormat="1" ht="15.75" thickBot="1" x14ac:dyDescent="0.3">
      <c r="B33" s="1170"/>
      <c r="C33" s="133"/>
      <c r="D33" s="133" t="s">
        <v>303</v>
      </c>
      <c r="E33" s="133"/>
      <c r="F33" s="1641"/>
      <c r="G33" s="1642"/>
      <c r="H33" s="1642"/>
      <c r="I33" s="1625">
        <f t="shared" si="1"/>
        <v>0</v>
      </c>
      <c r="J33" s="1626"/>
      <c r="K33" s="1171"/>
    </row>
    <row r="34" spans="1:11" s="918" customFormat="1" ht="15.75" thickBot="1" x14ac:dyDescent="0.3">
      <c r="B34" s="1170"/>
      <c r="C34" s="133"/>
      <c r="D34" s="133"/>
      <c r="E34" s="133"/>
      <c r="F34" s="1174"/>
      <c r="G34" s="1174"/>
      <c r="H34" s="1176" t="s">
        <v>174</v>
      </c>
      <c r="I34" s="1619">
        <f>SUM(I26:I33)</f>
        <v>62466</v>
      </c>
      <c r="J34" s="1620"/>
      <c r="K34" s="1171"/>
    </row>
    <row r="35" spans="1:11" s="918" customFormat="1" ht="3.75" customHeight="1" x14ac:dyDescent="0.25">
      <c r="B35" s="1170"/>
      <c r="C35" s="133"/>
      <c r="D35" s="133"/>
      <c r="E35" s="133"/>
      <c r="F35" s="247"/>
      <c r="G35" s="247"/>
      <c r="H35" s="247"/>
      <c r="I35" s="942"/>
      <c r="J35" s="942"/>
      <c r="K35" s="1171"/>
    </row>
    <row r="36" spans="1:11" s="918" customFormat="1" ht="15.75" thickBot="1" x14ac:dyDescent="0.3">
      <c r="B36" s="1170"/>
      <c r="C36" s="1173" t="s">
        <v>304</v>
      </c>
      <c r="D36" s="1173"/>
      <c r="E36" s="1173"/>
      <c r="F36" s="247"/>
      <c r="G36" s="247"/>
      <c r="H36" s="247"/>
      <c r="I36" s="942"/>
      <c r="J36" s="942"/>
      <c r="K36" s="1171"/>
    </row>
    <row r="37" spans="1:11" s="918" customFormat="1" x14ac:dyDescent="0.25">
      <c r="B37" s="1170"/>
      <c r="C37" s="133"/>
      <c r="D37" s="133" t="s">
        <v>305</v>
      </c>
      <c r="E37" s="133"/>
      <c r="F37" s="1635">
        <v>1</v>
      </c>
      <c r="G37" s="1636"/>
      <c r="H37" s="1636">
        <v>315250</v>
      </c>
      <c r="I37" s="1621">
        <f>F37*H37</f>
        <v>315250</v>
      </c>
      <c r="J37" s="1622"/>
      <c r="K37" s="1171"/>
    </row>
    <row r="38" spans="1:11" s="918" customFormat="1" x14ac:dyDescent="0.25">
      <c r="B38" s="1170"/>
      <c r="C38" s="133"/>
      <c r="D38" s="133" t="s">
        <v>306</v>
      </c>
      <c r="E38" s="133"/>
      <c r="F38" s="1637">
        <v>1</v>
      </c>
      <c r="G38" s="1638"/>
      <c r="H38" s="1638">
        <v>47541</v>
      </c>
      <c r="I38" s="1623">
        <f>F38*H38</f>
        <v>47541</v>
      </c>
      <c r="J38" s="1624"/>
      <c r="K38" s="1171"/>
    </row>
    <row r="39" spans="1:11" x14ac:dyDescent="0.25">
      <c r="A39" s="918"/>
      <c r="B39" s="1170"/>
      <c r="C39" s="133"/>
      <c r="D39" s="133" t="s">
        <v>307</v>
      </c>
      <c r="E39" s="133"/>
      <c r="F39" s="208"/>
      <c r="G39" s="207"/>
      <c r="H39" s="207"/>
      <c r="I39" s="207"/>
      <c r="J39" s="1165"/>
      <c r="K39" s="1171"/>
    </row>
    <row r="40" spans="1:11" s="918" customFormat="1" x14ac:dyDescent="0.25">
      <c r="B40" s="1170"/>
      <c r="C40" s="133"/>
      <c r="D40" s="2328" t="s">
        <v>1074</v>
      </c>
      <c r="E40" s="2328"/>
      <c r="F40" s="1637"/>
      <c r="G40" s="1638"/>
      <c r="H40" s="1638"/>
      <c r="I40" s="1623">
        <f>F40*H40</f>
        <v>0</v>
      </c>
      <c r="J40" s="1624"/>
      <c r="K40" s="1171"/>
    </row>
    <row r="41" spans="1:11" s="918" customFormat="1" ht="15.75" thickBot="1" x14ac:dyDescent="0.3">
      <c r="B41" s="1170"/>
      <c r="C41" s="133"/>
      <c r="D41" s="2328" t="s">
        <v>1075</v>
      </c>
      <c r="E41" s="2328"/>
      <c r="F41" s="1641"/>
      <c r="G41" s="1642"/>
      <c r="H41" s="1642"/>
      <c r="I41" s="1625">
        <f>F41*H41</f>
        <v>0</v>
      </c>
      <c r="J41" s="1626"/>
      <c r="K41" s="1171"/>
    </row>
    <row r="42" spans="1:11" s="918" customFormat="1" ht="15.75" thickBot="1" x14ac:dyDescent="0.3">
      <c r="B42" s="1170"/>
      <c r="C42" s="133"/>
      <c r="D42" s="133"/>
      <c r="E42" s="133"/>
      <c r="F42" s="1174"/>
      <c r="G42" s="1174"/>
      <c r="H42" s="1176" t="s">
        <v>174</v>
      </c>
      <c r="I42" s="1619">
        <f>SUM(I37:I38)+SUM(I40:I41)</f>
        <v>362791</v>
      </c>
      <c r="J42" s="1620"/>
      <c r="K42" s="1171"/>
    </row>
    <row r="43" spans="1:11" s="918" customFormat="1" ht="3.75" customHeight="1" x14ac:dyDescent="0.25">
      <c r="B43" s="1170"/>
      <c r="C43" s="133"/>
      <c r="D43" s="133"/>
      <c r="E43" s="133"/>
      <c r="F43" s="247"/>
      <c r="G43" s="247"/>
      <c r="H43" s="247"/>
      <c r="I43" s="942"/>
      <c r="J43" s="942"/>
      <c r="K43" s="1171"/>
    </row>
    <row r="44" spans="1:11" s="918" customFormat="1" ht="15.75" thickBot="1" x14ac:dyDescent="0.3">
      <c r="B44" s="1170"/>
      <c r="C44" s="1173" t="s">
        <v>308</v>
      </c>
      <c r="D44" s="1173"/>
      <c r="E44" s="1173"/>
      <c r="F44" s="247"/>
      <c r="G44" s="247"/>
      <c r="H44" s="247"/>
      <c r="I44" s="942"/>
      <c r="J44" s="942"/>
      <c r="K44" s="1171"/>
    </row>
    <row r="45" spans="1:11" s="918" customFormat="1" x14ac:dyDescent="0.25">
      <c r="B45" s="1170"/>
      <c r="C45" s="133"/>
      <c r="D45" s="133" t="s">
        <v>309</v>
      </c>
      <c r="E45" s="133"/>
      <c r="F45" s="1635"/>
      <c r="G45" s="1636"/>
      <c r="H45" s="1636"/>
      <c r="I45" s="1621">
        <f>F45*H45</f>
        <v>0</v>
      </c>
      <c r="J45" s="1622"/>
      <c r="K45" s="1171"/>
    </row>
    <row r="46" spans="1:11" s="918" customFormat="1" x14ac:dyDescent="0.25">
      <c r="B46" s="1170"/>
      <c r="C46" s="133"/>
      <c r="D46" s="133" t="s">
        <v>310</v>
      </c>
      <c r="E46" s="133"/>
      <c r="F46" s="1637"/>
      <c r="G46" s="1638"/>
      <c r="H46" s="1638"/>
      <c r="I46" s="1623">
        <f>F46*H46</f>
        <v>0</v>
      </c>
      <c r="J46" s="1624"/>
      <c r="K46" s="1171"/>
    </row>
    <row r="47" spans="1:11" s="918" customFormat="1" x14ac:dyDescent="0.25">
      <c r="B47" s="1170"/>
      <c r="C47" s="133"/>
      <c r="D47" s="133" t="s">
        <v>290</v>
      </c>
      <c r="E47" s="133"/>
      <c r="F47" s="1637"/>
      <c r="G47" s="1638"/>
      <c r="H47" s="1638"/>
      <c r="I47" s="1623">
        <f>F47*H47</f>
        <v>0</v>
      </c>
      <c r="J47" s="1624"/>
      <c r="K47" s="1171"/>
    </row>
    <row r="48" spans="1:11" s="918" customFormat="1" ht="15.75" thickBot="1" x14ac:dyDescent="0.3">
      <c r="B48" s="1170"/>
      <c r="C48" s="133"/>
      <c r="D48" s="133" t="s">
        <v>311</v>
      </c>
      <c r="E48" s="133"/>
      <c r="F48" s="1639"/>
      <c r="G48" s="1640"/>
      <c r="H48" s="1640"/>
      <c r="I48" s="1625">
        <f>F48*H48</f>
        <v>0</v>
      </c>
      <c r="J48" s="1626"/>
      <c r="K48" s="1171"/>
    </row>
    <row r="49" spans="2:11" s="918" customFormat="1" ht="15.75" thickBot="1" x14ac:dyDescent="0.3">
      <c r="B49" s="1170"/>
      <c r="C49" s="133"/>
      <c r="D49" s="133"/>
      <c r="E49" s="133"/>
      <c r="F49" s="1174"/>
      <c r="G49" s="1174"/>
      <c r="H49" s="1176" t="s">
        <v>174</v>
      </c>
      <c r="I49" s="1619">
        <f>SUM(I45:I48)</f>
        <v>0</v>
      </c>
      <c r="J49" s="1620"/>
      <c r="K49" s="1171"/>
    </row>
    <row r="50" spans="2:11" s="918" customFormat="1" ht="3.75" customHeight="1" x14ac:dyDescent="0.25">
      <c r="B50" s="1170"/>
      <c r="C50" s="133"/>
      <c r="D50" s="133"/>
      <c r="E50" s="133"/>
      <c r="F50" s="247"/>
      <c r="G50" s="247"/>
      <c r="H50" s="247"/>
      <c r="I50" s="942"/>
      <c r="J50" s="942"/>
      <c r="K50" s="1171"/>
    </row>
    <row r="51" spans="2:11" s="918" customFormat="1" ht="15.75" thickBot="1" x14ac:dyDescent="0.3">
      <c r="B51" s="1170"/>
      <c r="C51" s="1173" t="s">
        <v>247</v>
      </c>
      <c r="D51" s="1173"/>
      <c r="E51" s="1173"/>
      <c r="F51" s="1177"/>
      <c r="G51" s="1177"/>
      <c r="H51" s="1177"/>
      <c r="I51" s="1630"/>
      <c r="J51" s="696"/>
      <c r="K51" s="1171"/>
    </row>
    <row r="52" spans="2:11" s="918" customFormat="1" ht="15.75" thickBot="1" x14ac:dyDescent="0.3">
      <c r="B52" s="1170"/>
      <c r="C52" s="133"/>
      <c r="D52" s="133"/>
      <c r="E52" s="133"/>
      <c r="F52" s="1166">
        <v>1</v>
      </c>
      <c r="G52" s="1167"/>
      <c r="H52" s="1167">
        <v>113748</v>
      </c>
      <c r="I52" s="1631">
        <f>F52*H52</f>
        <v>113748</v>
      </c>
      <c r="J52" s="1618" t="s">
        <v>1596</v>
      </c>
      <c r="K52" s="1171"/>
    </row>
    <row r="53" spans="2:11" s="918" customFormat="1" ht="15.75" thickBot="1" x14ac:dyDescent="0.3">
      <c r="B53" s="1170"/>
      <c r="C53" s="133"/>
      <c r="D53" s="133"/>
      <c r="E53" s="133"/>
      <c r="F53" s="1174"/>
      <c r="G53" s="1174"/>
      <c r="H53" s="1176" t="s">
        <v>174</v>
      </c>
      <c r="I53" s="1619">
        <f>SUM(I52)</f>
        <v>113748</v>
      </c>
      <c r="J53" s="1620"/>
      <c r="K53" s="1171"/>
    </row>
    <row r="54" spans="2:11" s="918" customFormat="1" ht="7.5" customHeight="1" thickBot="1" x14ac:dyDescent="0.3">
      <c r="B54" s="1170"/>
      <c r="C54" s="133"/>
      <c r="D54" s="133"/>
      <c r="E54" s="133"/>
      <c r="F54" s="247"/>
      <c r="G54" s="247"/>
      <c r="H54" s="247"/>
      <c r="I54" s="247"/>
      <c r="J54" s="247"/>
      <c r="K54" s="1171"/>
    </row>
    <row r="55" spans="2:11" ht="15.75" thickBot="1" x14ac:dyDescent="0.3">
      <c r="B55" s="1178"/>
      <c r="C55" s="1648" t="s">
        <v>62</v>
      </c>
      <c r="D55" s="1179"/>
      <c r="E55" s="1180"/>
      <c r="F55" s="1181"/>
      <c r="G55" s="1181"/>
      <c r="H55" s="1182"/>
      <c r="I55" s="1183">
        <f>I12+I23+I34+I42+I49+I53</f>
        <v>554969</v>
      </c>
      <c r="J55" s="1184" t="str">
        <f>IF(I55&lt;&gt;('6A - 9%'!J98+'6A - 9%'!J99),"WARNING: Does not match Form 6A (Site 2)","")</f>
        <v/>
      </c>
      <c r="K55" s="1171"/>
    </row>
    <row r="56" spans="2:11" s="918" customFormat="1" ht="9" customHeight="1" thickBot="1" x14ac:dyDescent="0.3">
      <c r="B56" s="1185"/>
      <c r="C56" s="1186"/>
      <c r="D56" s="1186"/>
      <c r="E56" s="1186"/>
      <c r="F56" s="1186"/>
      <c r="G56" s="1186"/>
      <c r="H56" s="1186"/>
      <c r="I56" s="1187" t="s">
        <v>34</v>
      </c>
      <c r="J56" s="1186"/>
      <c r="K56" s="1113"/>
    </row>
  </sheetData>
  <sheetProtection password="9F6B" sheet="1" objects="1" scenarios="1" formatCells="0" formatColumns="0" formatRows="0"/>
  <mergeCells count="3">
    <mergeCell ref="C3:J3"/>
    <mergeCell ref="D40:E40"/>
    <mergeCell ref="D41:E41"/>
  </mergeCells>
  <pageMargins left="0.7" right="0.7" top="0.75" bottom="0.75" header="0.3" footer="0.3"/>
  <pageSetup scale="84" fitToHeight="0" orientation="portrait" r:id="rId1"/>
  <headerFooter>
    <oddFooter>&amp;LForm 6E(b)
Fee Schedule&amp;CCFA Forms&amp;REdition: 2015
Version: 1.1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O55"/>
  <sheetViews>
    <sheetView showGridLines="0" zoomScaleNormal="100" workbookViewId="0">
      <selection activeCell="M23" sqref="M23"/>
    </sheetView>
  </sheetViews>
  <sheetFormatPr defaultRowHeight="15" x14ac:dyDescent="0.25"/>
  <cols>
    <col min="1" max="2" width="1.7109375" style="839" customWidth="1"/>
    <col min="3" max="3" width="14.28515625" style="839" customWidth="1"/>
    <col min="4" max="4" width="22.85546875" style="839" customWidth="1"/>
    <col min="5" max="6" width="17.140625" style="839" customWidth="1"/>
    <col min="7" max="7" width="1.42578125" style="839" customWidth="1"/>
    <col min="8" max="8" width="0.7109375" style="839" customWidth="1"/>
    <col min="9" max="9" width="1.42578125" style="839" customWidth="1"/>
    <col min="10" max="10" width="14.28515625" style="839" customWidth="1"/>
    <col min="11" max="11" width="22.85546875" style="839" customWidth="1"/>
    <col min="12" max="13" width="17.140625" style="839" customWidth="1"/>
    <col min="14" max="14" width="1.7109375" style="839" customWidth="1"/>
    <col min="15" max="16384" width="9.140625" style="839"/>
  </cols>
  <sheetData>
    <row r="7" spans="2:14" ht="9" customHeight="1" thickBot="1" x14ac:dyDescent="0.3"/>
    <row r="8" spans="2:14" ht="9" customHeight="1" x14ac:dyDescent="0.25">
      <c r="B8" s="1189"/>
      <c r="C8" s="1190"/>
      <c r="D8" s="1190"/>
      <c r="E8" s="1191"/>
      <c r="F8" s="1191"/>
      <c r="G8" s="1191"/>
      <c r="H8" s="1191"/>
      <c r="I8" s="1191"/>
      <c r="J8" s="1190"/>
      <c r="K8" s="1190"/>
      <c r="L8" s="1190"/>
      <c r="M8" s="1190"/>
      <c r="N8" s="1192"/>
    </row>
    <row r="9" spans="2:14" ht="18.75" x14ac:dyDescent="0.3">
      <c r="B9" s="1193"/>
      <c r="C9" s="2225" t="s">
        <v>1383</v>
      </c>
      <c r="D9" s="2225"/>
      <c r="E9" s="2225"/>
      <c r="F9" s="2225"/>
      <c r="G9" s="2225"/>
      <c r="H9" s="2225"/>
      <c r="I9" s="2225"/>
      <c r="J9" s="2225"/>
      <c r="K9" s="2225"/>
      <c r="L9" s="2225"/>
      <c r="M9" s="2225"/>
      <c r="N9" s="1194"/>
    </row>
    <row r="10" spans="2:14" x14ac:dyDescent="0.25">
      <c r="B10" s="1193"/>
      <c r="C10" s="1994"/>
      <c r="D10" s="1994"/>
      <c r="E10" s="2003"/>
      <c r="F10" s="2003"/>
      <c r="G10" s="2003"/>
      <c r="H10" s="2003"/>
      <c r="I10" s="2003"/>
      <c r="J10" s="1994"/>
      <c r="K10" s="1994"/>
      <c r="L10" s="1994"/>
      <c r="M10" s="1994"/>
      <c r="N10" s="1194"/>
    </row>
    <row r="11" spans="2:14" x14ac:dyDescent="0.25">
      <c r="B11" s="1193"/>
      <c r="C11" s="1993" t="s">
        <v>59</v>
      </c>
      <c r="D11" s="2001" t="str">
        <f>IF('1A'!G5="","Enter Project Name on Form 1A",'1A'!G5)</f>
        <v>University District Apartments</v>
      </c>
      <c r="E11" s="2001"/>
      <c r="F11" s="2001"/>
      <c r="G11" s="2001"/>
      <c r="H11" s="2001"/>
      <c r="I11" s="1196"/>
      <c r="J11" s="1123"/>
      <c r="K11" s="1994"/>
      <c r="L11" s="1994"/>
      <c r="M11" s="1994"/>
      <c r="N11" s="1194"/>
    </row>
    <row r="12" spans="2:14" ht="7.5" customHeight="1" x14ac:dyDescent="0.25">
      <c r="B12" s="1193"/>
      <c r="C12" s="1993"/>
      <c r="D12" s="1994"/>
      <c r="E12" s="1994"/>
      <c r="F12" s="1994"/>
      <c r="G12" s="1994"/>
      <c r="H12" s="1994"/>
      <c r="I12" s="1197"/>
      <c r="J12" s="1123"/>
      <c r="K12" s="1994"/>
      <c r="L12" s="1994"/>
      <c r="M12" s="1994"/>
      <c r="N12" s="1194"/>
    </row>
    <row r="13" spans="2:14" ht="3.75" customHeight="1" x14ac:dyDescent="0.25">
      <c r="B13" s="1193"/>
      <c r="C13" s="2040"/>
      <c r="D13" s="2031"/>
      <c r="E13" s="2031"/>
      <c r="F13" s="2031"/>
      <c r="G13" s="2031"/>
      <c r="H13" s="2031"/>
      <c r="I13" s="2032"/>
      <c r="J13" s="2041"/>
      <c r="K13" s="2031"/>
      <c r="L13" s="2031"/>
      <c r="M13" s="2031"/>
      <c r="N13" s="1194"/>
    </row>
    <row r="14" spans="2:14" ht="7.5" customHeight="1" x14ac:dyDescent="0.25">
      <c r="B14" s="1193"/>
      <c r="C14" s="1993"/>
      <c r="D14" s="1994"/>
      <c r="E14" s="1994"/>
      <c r="F14" s="1994"/>
      <c r="G14" s="1994"/>
      <c r="H14" s="2031"/>
      <c r="I14" s="1197"/>
      <c r="J14" s="1123"/>
      <c r="K14" s="1994"/>
      <c r="L14" s="1994"/>
      <c r="M14" s="1994"/>
      <c r="N14" s="1194"/>
    </row>
    <row r="15" spans="2:14" x14ac:dyDescent="0.25">
      <c r="B15" s="1193"/>
      <c r="C15" s="1993" t="s">
        <v>1400</v>
      </c>
      <c r="D15" s="2361" t="str">
        <f>IF('1A'!G29="","Enter Site Name on Form 1A",'1A'!G29)</f>
        <v>Project A-  4%</v>
      </c>
      <c r="E15" s="2361"/>
      <c r="F15" s="2361"/>
      <c r="G15" s="1994"/>
      <c r="H15" s="2031"/>
      <c r="I15" s="1197"/>
      <c r="J15" s="1993" t="s">
        <v>1400</v>
      </c>
      <c r="K15" s="2361" t="str">
        <f>IF('1A'!G44="","Enter Site Name on Form 1A",'1A'!G44)</f>
        <v>Project B - 9%</v>
      </c>
      <c r="L15" s="2361"/>
      <c r="M15" s="2361"/>
      <c r="N15" s="1194"/>
    </row>
    <row r="16" spans="2:14" ht="3.75" customHeight="1" x14ac:dyDescent="0.25">
      <c r="B16" s="1193"/>
      <c r="C16" s="1994"/>
      <c r="D16" s="1994"/>
      <c r="E16" s="2003"/>
      <c r="F16" s="2003"/>
      <c r="G16" s="2003"/>
      <c r="H16" s="1875"/>
      <c r="I16" s="2003"/>
      <c r="J16" s="1994"/>
      <c r="K16" s="1994"/>
      <c r="L16" s="1994"/>
      <c r="M16" s="1994"/>
      <c r="N16" s="1194"/>
    </row>
    <row r="17" spans="2:15" ht="15.75" thickBot="1" x14ac:dyDescent="0.3">
      <c r="B17" s="1193"/>
      <c r="C17" s="1993" t="s">
        <v>1412</v>
      </c>
      <c r="D17" s="1994"/>
      <c r="E17" s="1197"/>
      <c r="F17" s="1197"/>
      <c r="G17" s="1197"/>
      <c r="H17" s="2032"/>
      <c r="I17" s="814"/>
      <c r="J17" s="1993" t="s">
        <v>1415</v>
      </c>
      <c r="K17" s="1994"/>
      <c r="L17" s="1197"/>
      <c r="M17" s="1197"/>
      <c r="N17" s="1198"/>
    </row>
    <row r="18" spans="2:15" ht="15.75" thickBot="1" x14ac:dyDescent="0.3">
      <c r="B18" s="1199"/>
      <c r="C18" s="2337" t="s">
        <v>313</v>
      </c>
      <c r="D18" s="2338"/>
      <c r="E18" s="2007" t="s">
        <v>314</v>
      </c>
      <c r="F18" s="2008" t="s">
        <v>315</v>
      </c>
      <c r="G18" s="1443"/>
      <c r="H18" s="2033"/>
      <c r="I18" s="814"/>
      <c r="J18" s="2337" t="s">
        <v>313</v>
      </c>
      <c r="K18" s="2338"/>
      <c r="L18" s="2007" t="s">
        <v>314</v>
      </c>
      <c r="M18" s="2008" t="s">
        <v>315</v>
      </c>
      <c r="N18" s="1205"/>
    </row>
    <row r="19" spans="2:15" x14ac:dyDescent="0.25">
      <c r="B19" s="1193"/>
      <c r="C19" s="2359" t="str">
        <f>IF('7A - 4%'!C15:D15="","",'7A - 4%'!C15:D15)</f>
        <v>Tier A  - Bond Convertible Loan</v>
      </c>
      <c r="D19" s="2360"/>
      <c r="E19" s="2018">
        <f>'7A - 4%'!E15:F15</f>
        <v>7583566</v>
      </c>
      <c r="F19" s="2019"/>
      <c r="G19" s="2011"/>
      <c r="H19" s="2034"/>
      <c r="I19" s="814"/>
      <c r="J19" s="2339" t="str">
        <f>IF('7A - 9%'!C15="","",'7A - 9%'!C15)</f>
        <v>Construction Loan</v>
      </c>
      <c r="K19" s="2340"/>
      <c r="L19" s="2018">
        <f>'7A - 9%'!E15</f>
        <v>9300000</v>
      </c>
      <c r="M19" s="2019"/>
      <c r="N19" s="1194"/>
    </row>
    <row r="20" spans="2:15" x14ac:dyDescent="0.25">
      <c r="B20" s="1193"/>
      <c r="C20" s="2341" t="str">
        <f>IF('7A - 4%'!C16:D16="","",'7A - 4%'!C16:D16)</f>
        <v>Tier B - Bond - Construction</v>
      </c>
      <c r="D20" s="2342"/>
      <c r="E20" s="2020">
        <f>'7A - 4%'!E16:F16</f>
        <v>5900000</v>
      </c>
      <c r="F20" s="2021"/>
      <c r="G20" s="2011"/>
      <c r="H20" s="2034"/>
      <c r="I20" s="814"/>
      <c r="J20" s="2341" t="str">
        <f>IF('7A - 9%'!C16="","",'7A - 9%'!C16)</f>
        <v/>
      </c>
      <c r="K20" s="2342"/>
      <c r="L20" s="2020">
        <f>'7A - 9%'!E16</f>
        <v>0</v>
      </c>
      <c r="M20" s="2021"/>
      <c r="N20" s="1194"/>
    </row>
    <row r="21" spans="2:15" ht="15.75" thickBot="1" x14ac:dyDescent="0.3">
      <c r="B21" s="1193"/>
      <c r="C21" s="2343" t="str">
        <f>IF('7A - 4%'!C17:D17="","",'7A - 4%'!C17:D17)</f>
        <v/>
      </c>
      <c r="D21" s="2344"/>
      <c r="E21" s="2022">
        <f>'7A - 4%'!E17:F17</f>
        <v>0</v>
      </c>
      <c r="F21" s="2023"/>
      <c r="G21" s="2011"/>
      <c r="H21" s="2034"/>
      <c r="I21" s="814"/>
      <c r="J21" s="2343" t="str">
        <f>IF('7A - 9%'!C17="","",'7A - 9%'!C17)</f>
        <v/>
      </c>
      <c r="K21" s="2344"/>
      <c r="L21" s="2022">
        <f>'7A - 9%'!E17</f>
        <v>0</v>
      </c>
      <c r="M21" s="2023"/>
      <c r="N21" s="1194"/>
    </row>
    <row r="22" spans="2:15" ht="15.75" thickBot="1" x14ac:dyDescent="0.3">
      <c r="B22" s="1193"/>
      <c r="C22" s="2345" t="s">
        <v>319</v>
      </c>
      <c r="D22" s="2346"/>
      <c r="E22" s="1206">
        <f>SUM(E19:E21)</f>
        <v>13483566</v>
      </c>
      <c r="F22" s="1207">
        <f>SUM(F19:F21)</f>
        <v>0</v>
      </c>
      <c r="G22" s="2011"/>
      <c r="H22" s="2034"/>
      <c r="I22" s="814"/>
      <c r="J22" s="2345" t="s">
        <v>319</v>
      </c>
      <c r="K22" s="2346"/>
      <c r="L22" s="1206">
        <f>SUM(L19:L21)</f>
        <v>9300000</v>
      </c>
      <c r="M22" s="1207">
        <f>SUM(M19:M21)</f>
        <v>0</v>
      </c>
      <c r="N22" s="1194"/>
    </row>
    <row r="23" spans="2:15" ht="7.5" customHeight="1" x14ac:dyDescent="0.25">
      <c r="B23" s="1193"/>
      <c r="C23" s="1994"/>
      <c r="D23" s="1994"/>
      <c r="E23" s="2003"/>
      <c r="F23" s="2003"/>
      <c r="G23" s="2003"/>
      <c r="H23" s="1875"/>
      <c r="I23" s="814"/>
      <c r="J23" s="1994"/>
      <c r="K23" s="1994"/>
      <c r="L23" s="2003"/>
      <c r="M23" s="2003"/>
      <c r="N23" s="1194"/>
    </row>
    <row r="24" spans="2:15" ht="15.75" thickBot="1" x14ac:dyDescent="0.3">
      <c r="B24" s="1193"/>
      <c r="C24" s="1993" t="s">
        <v>1413</v>
      </c>
      <c r="D24" s="1994"/>
      <c r="E24" s="1197"/>
      <c r="F24" s="1197"/>
      <c r="G24" s="1197"/>
      <c r="H24" s="2032"/>
      <c r="I24" s="814"/>
      <c r="J24" s="1993" t="s">
        <v>1416</v>
      </c>
      <c r="K24" s="1994"/>
      <c r="L24" s="1197"/>
      <c r="M24" s="1197"/>
      <c r="N24" s="1198"/>
    </row>
    <row r="25" spans="2:15" ht="15.75" thickBot="1" x14ac:dyDescent="0.3">
      <c r="B25" s="1199"/>
      <c r="C25" s="2337" t="s">
        <v>322</v>
      </c>
      <c r="D25" s="2338"/>
      <c r="E25" s="2009" t="s">
        <v>314</v>
      </c>
      <c r="F25" s="2008" t="s">
        <v>315</v>
      </c>
      <c r="G25" s="1443"/>
      <c r="H25" s="2033"/>
      <c r="I25" s="814"/>
      <c r="J25" s="2337" t="s">
        <v>322</v>
      </c>
      <c r="K25" s="2338"/>
      <c r="L25" s="2009" t="s">
        <v>314</v>
      </c>
      <c r="M25" s="2008" t="s">
        <v>315</v>
      </c>
      <c r="N25" s="1205"/>
    </row>
    <row r="26" spans="2:15" x14ac:dyDescent="0.25">
      <c r="B26" s="1193"/>
      <c r="C26" s="2331" t="str">
        <f>IF('7A - 4%'!C24:D24="","",'7A - 4%'!C24:D24)</f>
        <v>City Of Seattle - Office of Housing</v>
      </c>
      <c r="D26" s="2332"/>
      <c r="E26" s="2024">
        <f>'7A - 4%'!E24:F24</f>
        <v>5820000</v>
      </c>
      <c r="F26" s="2025"/>
      <c r="G26" s="2011"/>
      <c r="H26" s="2034"/>
      <c r="I26" s="814"/>
      <c r="J26" s="2331" t="str">
        <f>IF('7A - 9%'!C24="","",'7A - 9%'!C24)</f>
        <v>City Seattle</v>
      </c>
      <c r="K26" s="2332"/>
      <c r="L26" s="2024">
        <f>'7A - 9%'!E24</f>
        <v>790000</v>
      </c>
      <c r="M26" s="2025"/>
      <c r="N26" s="1194"/>
      <c r="O26" s="1188"/>
    </row>
    <row r="27" spans="2:15" x14ac:dyDescent="0.25">
      <c r="B27" s="1193"/>
      <c r="C27" s="2333" t="str">
        <f>IF('7A - 4%'!C25:D25="","",'7A - 4%'!C25:D25)</f>
        <v xml:space="preserve">4% Bonds - Perm </v>
      </c>
      <c r="D27" s="2334"/>
      <c r="E27" s="2026">
        <f>'7A - 4%'!E25:F25</f>
        <v>7583566</v>
      </c>
      <c r="F27" s="2021"/>
      <c r="G27" s="2011"/>
      <c r="H27" s="2034"/>
      <c r="I27" s="814"/>
      <c r="J27" s="2333" t="str">
        <f>IF('7A - 9%'!C25="","",'7A - 9%'!C25)</f>
        <v>King County</v>
      </c>
      <c r="K27" s="2334"/>
      <c r="L27" s="2026">
        <f>'7A - 9%'!E25</f>
        <v>500000</v>
      </c>
      <c r="M27" s="2021"/>
      <c r="N27" s="1194"/>
    </row>
    <row r="28" spans="2:15" x14ac:dyDescent="0.25">
      <c r="B28" s="1193"/>
      <c r="C28" s="2333" t="str">
        <f>IF('7A - 4%'!C26:D26="","",'7A - 4%'!C26:D26)</f>
        <v>Deferred Fee</v>
      </c>
      <c r="D28" s="2334"/>
      <c r="E28" s="2026">
        <f>'7A - 4%'!E26:F26</f>
        <v>1341467</v>
      </c>
      <c r="F28" s="2021"/>
      <c r="G28" s="2011"/>
      <c r="H28" s="2034"/>
      <c r="I28" s="814"/>
      <c r="J28" s="2333" t="str">
        <f>IF('7A - 9%'!C26="","",'7A - 9%'!C26)</f>
        <v>Housing Trust Fund</v>
      </c>
      <c r="K28" s="2334"/>
      <c r="L28" s="2026">
        <f>'7A - 9%'!E26</f>
        <v>2500000</v>
      </c>
      <c r="M28" s="2021"/>
      <c r="N28" s="1194"/>
    </row>
    <row r="29" spans="2:15" x14ac:dyDescent="0.25">
      <c r="B29" s="1193"/>
      <c r="C29" s="2333" t="str">
        <f>IF('7A - 4%'!C27:D27="","",'7A - 4%'!C27:D27)</f>
        <v xml:space="preserve">Energy Efficiency Incentives </v>
      </c>
      <c r="D29" s="2334"/>
      <c r="E29" s="2026">
        <f>'7A - 4%'!E27:F27</f>
        <v>75000</v>
      </c>
      <c r="F29" s="2021"/>
      <c r="G29" s="2011"/>
      <c r="H29" s="2034"/>
      <c r="I29" s="814"/>
      <c r="J29" s="2333" t="str">
        <f>IF('7A - 9%'!C27="","",'7A - 9%'!C27)</f>
        <v>Permanent Financing - Residential</v>
      </c>
      <c r="K29" s="2334"/>
      <c r="L29" s="2026">
        <f>'7A - 9%'!E27</f>
        <v>1088276</v>
      </c>
      <c r="M29" s="2021"/>
      <c r="N29" s="1194"/>
    </row>
    <row r="30" spans="2:15" x14ac:dyDescent="0.25">
      <c r="B30" s="1193"/>
      <c r="C30" s="2333" t="str">
        <f>IF('7A - 4%'!C28:D28="","",'7A - 4%'!C28:D28)</f>
        <v/>
      </c>
      <c r="D30" s="2334"/>
      <c r="E30" s="2026">
        <f>'7A - 4%'!E28:F28</f>
        <v>0</v>
      </c>
      <c r="F30" s="2021"/>
      <c r="G30" s="2011"/>
      <c r="H30" s="2034"/>
      <c r="I30" s="814"/>
      <c r="J30" s="2333" t="str">
        <f>IF('7A - 9%'!C28="","",'7A - 9%'!C28)</f>
        <v>Deferred Fee</v>
      </c>
      <c r="K30" s="2334"/>
      <c r="L30" s="2026">
        <f>'7A - 9%'!E28</f>
        <v>308533</v>
      </c>
      <c r="M30" s="2021"/>
      <c r="N30" s="1194"/>
    </row>
    <row r="31" spans="2:15" ht="15.75" thickBot="1" x14ac:dyDescent="0.3">
      <c r="B31" s="1193"/>
      <c r="C31" s="2335" t="str">
        <f>IF('7A - 4%'!C29:D29="","",'7A - 4%'!C29:D29)</f>
        <v/>
      </c>
      <c r="D31" s="2336"/>
      <c r="E31" s="2027">
        <f>'7A - 4%'!E29:F29</f>
        <v>0</v>
      </c>
      <c r="F31" s="2023"/>
      <c r="G31" s="2011"/>
      <c r="H31" s="2034"/>
      <c r="I31" s="814"/>
      <c r="J31" s="2335" t="str">
        <f>IF('7A - 9%'!C29="","",'7A - 9%'!C29)</f>
        <v xml:space="preserve">Energy Efficiency Incentives </v>
      </c>
      <c r="K31" s="2336"/>
      <c r="L31" s="2027">
        <f>'7A - 9%'!E29</f>
        <v>50000</v>
      </c>
      <c r="M31" s="2023"/>
      <c r="N31" s="1194"/>
    </row>
    <row r="32" spans="2:15" ht="15.75" thickBot="1" x14ac:dyDescent="0.3">
      <c r="B32" s="1193"/>
      <c r="C32" s="2347" t="s">
        <v>328</v>
      </c>
      <c r="D32" s="2348"/>
      <c r="E32" s="342">
        <f>SUM(E26:E31)</f>
        <v>14820033</v>
      </c>
      <c r="F32" s="2010">
        <f>SUM(F26:F31)</f>
        <v>0</v>
      </c>
      <c r="G32" s="2011"/>
      <c r="H32" s="2034"/>
      <c r="I32" s="814"/>
      <c r="J32" s="2347" t="s">
        <v>328</v>
      </c>
      <c r="K32" s="2348"/>
      <c r="L32" s="342">
        <f>SUM(L26:L31)</f>
        <v>5236809</v>
      </c>
      <c r="M32" s="2010">
        <f>SUM(M26:M31)</f>
        <v>0</v>
      </c>
      <c r="N32" s="1213"/>
    </row>
    <row r="33" spans="2:14" ht="3.75" customHeight="1" thickBot="1" x14ac:dyDescent="0.3">
      <c r="B33" s="1193"/>
      <c r="C33" s="1209"/>
      <c r="D33" s="1209"/>
      <c r="E33" s="2011"/>
      <c r="F33" s="2011"/>
      <c r="G33" s="2011"/>
      <c r="H33" s="2034"/>
      <c r="I33" s="2028"/>
      <c r="J33" s="1209"/>
      <c r="K33" s="1209"/>
      <c r="L33" s="2011"/>
      <c r="M33" s="2011"/>
      <c r="N33" s="1213"/>
    </row>
    <row r="34" spans="2:14" ht="15.75" thickBot="1" x14ac:dyDescent="0.3">
      <c r="B34" s="1193"/>
      <c r="C34" s="1209"/>
      <c r="D34" s="1996" t="s">
        <v>1402</v>
      </c>
      <c r="E34" s="1996"/>
      <c r="F34" s="344">
        <f>'7A - 4%'!F34</f>
        <v>8336272</v>
      </c>
      <c r="G34" s="2030"/>
      <c r="H34" s="2035"/>
      <c r="I34" s="821"/>
      <c r="J34" s="1209"/>
      <c r="K34" s="1996" t="s">
        <v>1401</v>
      </c>
      <c r="L34" s="1996"/>
      <c r="M34" s="344">
        <f>'7A - 9%'!F34</f>
        <v>10979003</v>
      </c>
      <c r="N34" s="1213"/>
    </row>
    <row r="35" spans="2:14" ht="7.5" customHeight="1" x14ac:dyDescent="0.25">
      <c r="B35" s="1193"/>
      <c r="C35" s="1209"/>
      <c r="D35" s="1209"/>
      <c r="E35" s="2011"/>
      <c r="F35" s="2011"/>
      <c r="G35" s="2011"/>
      <c r="H35" s="2034"/>
      <c r="I35" s="2028"/>
      <c r="J35" s="1209"/>
      <c r="K35" s="1209"/>
      <c r="L35" s="2011"/>
      <c r="M35" s="2011"/>
      <c r="N35" s="1213"/>
    </row>
    <row r="36" spans="2:14" ht="15.75" thickBot="1" x14ac:dyDescent="0.3">
      <c r="B36" s="1193"/>
      <c r="C36" s="1993" t="s">
        <v>1414</v>
      </c>
      <c r="D36" s="1994"/>
      <c r="E36" s="2003"/>
      <c r="F36" s="1216"/>
      <c r="G36" s="1216"/>
      <c r="H36" s="2036"/>
      <c r="I36" s="814"/>
      <c r="J36" s="1993" t="s">
        <v>1414</v>
      </c>
      <c r="K36" s="1994"/>
      <c r="L36" s="2003"/>
      <c r="M36" s="1216"/>
      <c r="N36" s="1194"/>
    </row>
    <row r="37" spans="2:14" ht="15.75" thickBot="1" x14ac:dyDescent="0.3">
      <c r="B37" s="1193"/>
      <c r="C37" s="2337" t="s">
        <v>653</v>
      </c>
      <c r="D37" s="2338"/>
      <c r="E37" s="2009" t="s">
        <v>314</v>
      </c>
      <c r="F37" s="2008" t="s">
        <v>315</v>
      </c>
      <c r="G37" s="1443"/>
      <c r="H37" s="2033"/>
      <c r="I37" s="814"/>
      <c r="J37" s="2337" t="s">
        <v>653</v>
      </c>
      <c r="K37" s="2338"/>
      <c r="L37" s="2009" t="s">
        <v>314</v>
      </c>
      <c r="M37" s="2008" t="s">
        <v>315</v>
      </c>
      <c r="N37" s="1194"/>
    </row>
    <row r="38" spans="2:14" x14ac:dyDescent="0.25">
      <c r="B38" s="1193"/>
      <c r="C38" s="2355" t="str">
        <f>IF('7A - 4%'!C40:D40="","",'7A - 4%'!C40:D40)</f>
        <v/>
      </c>
      <c r="D38" s="2356"/>
      <c r="E38" s="2029">
        <f>'7A - 4%'!E40</f>
        <v>0</v>
      </c>
      <c r="F38" s="2019">
        <f>'7A - 4%'!F40</f>
        <v>0</v>
      </c>
      <c r="G38" s="2011"/>
      <c r="H38" s="2034"/>
      <c r="I38" s="814"/>
      <c r="J38" s="2355" t="str">
        <f>IF('7A - 9%'!C40="","",'7A - 9%'!C40)</f>
        <v>Bellwether Loan</v>
      </c>
      <c r="K38" s="2356"/>
      <c r="L38" s="2029">
        <f>'7A - 9%'!E40</f>
        <v>295000</v>
      </c>
      <c r="M38" s="2019">
        <f>'7A - 9%'!F40</f>
        <v>0</v>
      </c>
      <c r="N38" s="1194"/>
    </row>
    <row r="39" spans="2:14" ht="15.75" thickBot="1" x14ac:dyDescent="0.3">
      <c r="B39" s="1193"/>
      <c r="C39" s="2335" t="str">
        <f>IF('7A - 4%'!C41:D41="","",'7A - 4%'!C41:D41)</f>
        <v/>
      </c>
      <c r="D39" s="2336"/>
      <c r="E39" s="2027">
        <f>'7A - 4%'!E41</f>
        <v>0</v>
      </c>
      <c r="F39" s="2023">
        <f>'7A - 4%'!F41</f>
        <v>0</v>
      </c>
      <c r="G39" s="2011"/>
      <c r="H39" s="2034"/>
      <c r="I39" s="814"/>
      <c r="J39" s="2335" t="str">
        <f>IF('7A - 9%'!C41="","",'7A - 9%'!C41)</f>
        <v>Bank Perm Loan</v>
      </c>
      <c r="K39" s="2336"/>
      <c r="L39" s="2027">
        <f>'7A - 9%'!E41</f>
        <v>264855</v>
      </c>
      <c r="M39" s="2023">
        <f>'7A - 9%'!F41</f>
        <v>0</v>
      </c>
      <c r="N39" s="1194"/>
    </row>
    <row r="40" spans="2:14" ht="15.75" thickBot="1" x14ac:dyDescent="0.3">
      <c r="B40" s="1193"/>
      <c r="C40" s="2347" t="s">
        <v>328</v>
      </c>
      <c r="D40" s="2348"/>
      <c r="E40" s="1218">
        <f>SUM(E38:E39)</f>
        <v>0</v>
      </c>
      <c r="F40" s="1219">
        <f>SUM(F38:F39)</f>
        <v>0</v>
      </c>
      <c r="G40" s="2030"/>
      <c r="H40" s="2035"/>
      <c r="I40" s="814"/>
      <c r="J40" s="2347" t="s">
        <v>328</v>
      </c>
      <c r="K40" s="2348"/>
      <c r="L40" s="1218">
        <f>SUM(L38:L39)</f>
        <v>559855</v>
      </c>
      <c r="M40" s="1219">
        <f>SUM(M38:M39)</f>
        <v>0</v>
      </c>
      <c r="N40" s="1194"/>
    </row>
    <row r="41" spans="2:14" ht="7.5" customHeight="1" x14ac:dyDescent="0.25">
      <c r="B41" s="1193"/>
      <c r="C41" s="321"/>
      <c r="D41" s="1994"/>
      <c r="E41" s="337"/>
      <c r="F41" s="337"/>
      <c r="G41" s="337"/>
      <c r="H41" s="2038"/>
      <c r="I41" s="814"/>
      <c r="J41" s="321"/>
      <c r="K41" s="1994"/>
      <c r="L41" s="337"/>
      <c r="M41" s="337"/>
      <c r="N41" s="1194"/>
    </row>
    <row r="42" spans="2:14" ht="3.75" customHeight="1" x14ac:dyDescent="0.25">
      <c r="B42" s="1193"/>
      <c r="C42" s="2037"/>
      <c r="D42" s="2031"/>
      <c r="E42" s="2038"/>
      <c r="F42" s="2038"/>
      <c r="G42" s="2038"/>
      <c r="H42" s="2038"/>
      <c r="I42" s="2039"/>
      <c r="J42" s="2037"/>
      <c r="K42" s="2031"/>
      <c r="L42" s="2038"/>
      <c r="M42" s="2038"/>
      <c r="N42" s="1194"/>
    </row>
    <row r="43" spans="2:14" ht="15.75" thickBot="1" x14ac:dyDescent="0.3">
      <c r="B43" s="1193"/>
      <c r="C43" s="321"/>
      <c r="D43" s="1994"/>
      <c r="E43" s="337"/>
      <c r="F43" s="337"/>
      <c r="G43" s="337"/>
      <c r="H43" s="337"/>
      <c r="I43" s="814"/>
      <c r="J43" s="321"/>
      <c r="K43" s="1994"/>
      <c r="L43" s="337"/>
      <c r="M43" s="337"/>
      <c r="N43" s="1194"/>
    </row>
    <row r="44" spans="2:14" ht="16.5" thickBot="1" x14ac:dyDescent="0.3">
      <c r="B44" s="1193"/>
      <c r="C44" s="1295" t="s">
        <v>1417</v>
      </c>
      <c r="D44" s="2012"/>
      <c r="E44" s="2009" t="s">
        <v>314</v>
      </c>
      <c r="F44" s="2008" t="s">
        <v>315</v>
      </c>
      <c r="G44" s="337"/>
      <c r="H44" s="337"/>
      <c r="I44" s="814"/>
      <c r="J44" s="321"/>
      <c r="K44" s="1994"/>
      <c r="L44" s="337"/>
      <c r="M44" s="337"/>
      <c r="N44" s="1194"/>
    </row>
    <row r="45" spans="2:14" x14ac:dyDescent="0.25">
      <c r="B45" s="1193"/>
      <c r="C45" s="2351" t="s">
        <v>320</v>
      </c>
      <c r="D45" s="2352"/>
      <c r="E45" s="2015">
        <f>SUM(E22+L22)</f>
        <v>22783566</v>
      </c>
      <c r="F45" s="2015">
        <f>F22+M22</f>
        <v>0</v>
      </c>
      <c r="G45" s="2030"/>
      <c r="H45" s="2030"/>
      <c r="I45" s="814"/>
      <c r="J45" s="1208"/>
      <c r="K45" s="821"/>
      <c r="L45" s="821"/>
      <c r="M45" s="821"/>
      <c r="N45" s="1194"/>
    </row>
    <row r="46" spans="2:14" x14ac:dyDescent="0.25">
      <c r="B46" s="1193"/>
      <c r="C46" s="2353" t="s">
        <v>331</v>
      </c>
      <c r="D46" s="2354"/>
      <c r="E46" s="2016">
        <f>E47+E48+E49</f>
        <v>39372117</v>
      </c>
      <c r="F46" s="2016">
        <f>SUM(F47:F49)</f>
        <v>0</v>
      </c>
      <c r="G46" s="2030"/>
      <c r="H46" s="2030"/>
      <c r="I46" s="814"/>
      <c r="J46" s="821"/>
      <c r="K46" s="821"/>
      <c r="L46" s="821"/>
      <c r="M46" s="821"/>
      <c r="N46" s="1213"/>
    </row>
    <row r="47" spans="2:14" x14ac:dyDescent="0.25">
      <c r="B47" s="1193"/>
      <c r="C47" s="2349" t="s">
        <v>329</v>
      </c>
      <c r="D47" s="2350"/>
      <c r="E47" s="2013">
        <f>SUM(E32+L32)</f>
        <v>20056842</v>
      </c>
      <c r="F47" s="2013">
        <f>F32+M32</f>
        <v>0</v>
      </c>
      <c r="G47" s="2011"/>
      <c r="H47" s="2011"/>
      <c r="I47" s="814"/>
      <c r="J47" s="1208"/>
      <c r="K47" s="821"/>
      <c r="L47" s="821"/>
      <c r="M47" s="821"/>
      <c r="N47" s="1194"/>
    </row>
    <row r="48" spans="2:14" x14ac:dyDescent="0.25">
      <c r="B48" s="1193"/>
      <c r="C48" s="2349" t="s">
        <v>1402</v>
      </c>
      <c r="D48" s="2350"/>
      <c r="E48" s="2013">
        <f>F34</f>
        <v>8336272</v>
      </c>
      <c r="F48" s="2013"/>
      <c r="G48" s="2011"/>
      <c r="H48" s="2011"/>
      <c r="I48" s="814"/>
      <c r="J48" s="821"/>
      <c r="K48" s="821"/>
      <c r="L48" s="821"/>
      <c r="M48" s="821"/>
      <c r="N48" s="1213"/>
    </row>
    <row r="49" spans="2:14" x14ac:dyDescent="0.25">
      <c r="B49" s="1193"/>
      <c r="C49" s="2349" t="s">
        <v>1401</v>
      </c>
      <c r="D49" s="2350"/>
      <c r="E49" s="2013">
        <f>M34</f>
        <v>10979003</v>
      </c>
      <c r="F49" s="2013"/>
      <c r="G49" s="2011"/>
      <c r="H49" s="2011"/>
      <c r="I49" s="814"/>
      <c r="J49" s="821"/>
      <c r="K49" s="821"/>
      <c r="L49" s="821"/>
      <c r="M49" s="821"/>
      <c r="N49" s="1213"/>
    </row>
    <row r="50" spans="2:14" ht="15.75" thickBot="1" x14ac:dyDescent="0.3">
      <c r="B50" s="1193"/>
      <c r="C50" s="2357" t="s">
        <v>333</v>
      </c>
      <c r="D50" s="2358"/>
      <c r="E50" s="2043">
        <f>SUM(E40+L40)</f>
        <v>559855</v>
      </c>
      <c r="F50" s="2043">
        <f>F40+M40</f>
        <v>0</v>
      </c>
      <c r="G50" s="2030"/>
      <c r="H50" s="2030"/>
      <c r="I50" s="814"/>
      <c r="J50" s="821"/>
      <c r="K50" s="821"/>
      <c r="L50" s="821"/>
      <c r="M50" s="821"/>
      <c r="N50" s="1194"/>
    </row>
    <row r="51" spans="2:14" ht="3.75" customHeight="1" thickBot="1" x14ac:dyDescent="0.3">
      <c r="B51" s="1193"/>
      <c r="C51" s="1996"/>
      <c r="E51" s="2030"/>
      <c r="F51" s="2030"/>
      <c r="G51" s="2030"/>
      <c r="H51" s="2030"/>
      <c r="I51" s="814"/>
      <c r="J51" s="821"/>
      <c r="K51" s="821"/>
      <c r="L51" s="821"/>
      <c r="M51" s="821"/>
      <c r="N51" s="1194"/>
    </row>
    <row r="52" spans="2:14" x14ac:dyDescent="0.25">
      <c r="B52" s="1193"/>
      <c r="C52" s="1996"/>
      <c r="E52" s="1209" t="s">
        <v>1421</v>
      </c>
      <c r="F52" s="2042">
        <f>E46+E50</f>
        <v>39931972</v>
      </c>
      <c r="G52" s="2030"/>
      <c r="H52" s="2030"/>
      <c r="I52" s="814"/>
      <c r="J52" s="821"/>
      <c r="K52" s="821"/>
      <c r="L52" s="821"/>
      <c r="M52" s="821"/>
      <c r="N52" s="1194"/>
    </row>
    <row r="53" spans="2:14" ht="15.75" thickBot="1" x14ac:dyDescent="0.3">
      <c r="B53" s="1193"/>
      <c r="C53" s="1996"/>
      <c r="E53" s="1209" t="s">
        <v>1422</v>
      </c>
      <c r="F53" s="2045">
        <f>F46+F50</f>
        <v>0</v>
      </c>
      <c r="G53" s="2030"/>
      <c r="H53" s="2030"/>
      <c r="I53" s="814"/>
      <c r="J53" s="821"/>
      <c r="K53" s="821"/>
      <c r="L53" s="821"/>
      <c r="M53" s="821"/>
      <c r="N53" s="1194"/>
    </row>
    <row r="54" spans="2:14" ht="16.5" thickTop="1" thickBot="1" x14ac:dyDescent="0.3">
      <c r="B54" s="1193"/>
      <c r="C54" s="321"/>
      <c r="E54" s="2014" t="s">
        <v>1418</v>
      </c>
      <c r="F54" s="2044">
        <f>E46+E50+F46+F50</f>
        <v>39931972</v>
      </c>
      <c r="G54" s="2011"/>
      <c r="H54" s="2011"/>
      <c r="I54" s="814"/>
      <c r="J54" s="821"/>
      <c r="K54" s="821"/>
      <c r="L54" s="821"/>
      <c r="M54" s="821"/>
      <c r="N54" s="1194"/>
    </row>
    <row r="55" spans="2:14" ht="9" customHeight="1" thickTop="1" thickBot="1" x14ac:dyDescent="0.3">
      <c r="B55" s="1222"/>
      <c r="C55" s="1223"/>
      <c r="D55" s="1224"/>
      <c r="E55" s="1225"/>
      <c r="F55" s="1226"/>
      <c r="G55" s="1226"/>
      <c r="H55" s="1226"/>
      <c r="I55" s="1226"/>
      <c r="J55" s="1227"/>
      <c r="K55" s="1227"/>
      <c r="L55" s="1224"/>
      <c r="M55" s="1224"/>
      <c r="N55" s="1228"/>
    </row>
  </sheetData>
  <sheetProtection password="9F6B" sheet="1" objects="1" scenarios="1" formatCells="0" formatColumns="0" formatRows="0" insertRows="0"/>
  <mergeCells count="43">
    <mergeCell ref="J25:K25"/>
    <mergeCell ref="J39:K39"/>
    <mergeCell ref="C50:D50"/>
    <mergeCell ref="C9:M9"/>
    <mergeCell ref="C18:D18"/>
    <mergeCell ref="C19:D19"/>
    <mergeCell ref="C20:D20"/>
    <mergeCell ref="D15:F15"/>
    <mergeCell ref="K15:M15"/>
    <mergeCell ref="C21:D21"/>
    <mergeCell ref="C22:D22"/>
    <mergeCell ref="C25:D25"/>
    <mergeCell ref="C26:D26"/>
    <mergeCell ref="C27:D27"/>
    <mergeCell ref="C32:D32"/>
    <mergeCell ref="C37:D37"/>
    <mergeCell ref="J32:K32"/>
    <mergeCell ref="C48:D48"/>
    <mergeCell ref="C49:D49"/>
    <mergeCell ref="C28:D28"/>
    <mergeCell ref="C30:D30"/>
    <mergeCell ref="C31:D31"/>
    <mergeCell ref="C45:D45"/>
    <mergeCell ref="C46:D46"/>
    <mergeCell ref="C47:D47"/>
    <mergeCell ref="J40:K40"/>
    <mergeCell ref="C38:D38"/>
    <mergeCell ref="C39:D39"/>
    <mergeCell ref="C40:D40"/>
    <mergeCell ref="J37:K37"/>
    <mergeCell ref="J38:K38"/>
    <mergeCell ref="C29:D29"/>
    <mergeCell ref="J18:K18"/>
    <mergeCell ref="J19:K19"/>
    <mergeCell ref="J20:K20"/>
    <mergeCell ref="J21:K21"/>
    <mergeCell ref="J22:K22"/>
    <mergeCell ref="J26:K26"/>
    <mergeCell ref="J27:K27"/>
    <mergeCell ref="J28:K28"/>
    <mergeCell ref="J30:K30"/>
    <mergeCell ref="J31:K31"/>
    <mergeCell ref="J29:K29"/>
  </mergeCells>
  <pageMargins left="0.7" right="0.7" top="0.75" bottom="0.75" header="0.3" footer="0.3"/>
  <pageSetup scale="82" orientation="landscape" r:id="rId1"/>
  <headerFooter>
    <oddFooter>&amp;LForm 7A
Financing Sources&amp;CCFA Forms&amp;REdition: 2015
Version: 1.1</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7:P45"/>
  <sheetViews>
    <sheetView showGridLines="0" zoomScaleNormal="100" workbookViewId="0">
      <selection activeCell="K27" sqref="K27"/>
    </sheetView>
  </sheetViews>
  <sheetFormatPr defaultRowHeight="15" x14ac:dyDescent="0.25"/>
  <cols>
    <col min="1" max="2" width="1.7109375" style="839" customWidth="1"/>
    <col min="3" max="3" width="14.28515625" style="839" customWidth="1"/>
    <col min="4" max="4" width="22.85546875" style="839" customWidth="1"/>
    <col min="5" max="6" width="17.140625" style="839" customWidth="1"/>
    <col min="7" max="8" width="9.140625" style="839"/>
    <col min="9" max="9" width="10" style="839" customWidth="1"/>
    <col min="10" max="10" width="11.5703125" style="839" customWidth="1"/>
    <col min="11" max="12" width="8.5703125" style="839" customWidth="1"/>
    <col min="13" max="13" width="10.5703125" style="839" customWidth="1"/>
    <col min="14" max="14" width="15" style="839" bestFit="1" customWidth="1"/>
    <col min="15" max="15" width="1.7109375" style="839" customWidth="1"/>
    <col min="16" max="16384" width="9.140625" style="839"/>
  </cols>
  <sheetData>
    <row r="7" spans="2:15" ht="9" customHeight="1" thickBot="1" x14ac:dyDescent="0.3"/>
    <row r="8" spans="2:15" ht="9" customHeight="1" x14ac:dyDescent="0.25">
      <c r="B8" s="1189"/>
      <c r="C8" s="1190"/>
      <c r="D8" s="1190"/>
      <c r="E8" s="1191"/>
      <c r="F8" s="1191"/>
      <c r="G8" s="1191"/>
      <c r="H8" s="1190"/>
      <c r="I8" s="1190"/>
      <c r="J8" s="1190"/>
      <c r="K8" s="1190"/>
      <c r="L8" s="1190"/>
      <c r="M8" s="1190"/>
      <c r="N8" s="1190"/>
      <c r="O8" s="1192"/>
    </row>
    <row r="9" spans="2:15" ht="18.75" x14ac:dyDescent="0.3">
      <c r="B9" s="1193"/>
      <c r="C9" s="2225" t="s">
        <v>1598</v>
      </c>
      <c r="D9" s="2225"/>
      <c r="E9" s="2225"/>
      <c r="F9" s="2225"/>
      <c r="G9" s="2225"/>
      <c r="H9" s="2225"/>
      <c r="I9" s="2225"/>
      <c r="J9" s="2225"/>
      <c r="K9" s="2225"/>
      <c r="L9" s="2225"/>
      <c r="M9" s="2225"/>
      <c r="N9" s="2225"/>
      <c r="O9" s="1194"/>
    </row>
    <row r="10" spans="2:15" x14ac:dyDescent="0.25">
      <c r="B10" s="1193"/>
      <c r="C10" s="401"/>
      <c r="D10" s="401"/>
      <c r="E10" s="807"/>
      <c r="F10" s="807"/>
      <c r="G10" s="807"/>
      <c r="H10" s="401"/>
      <c r="I10" s="401"/>
      <c r="J10" s="401"/>
      <c r="K10" s="401"/>
      <c r="L10" s="401"/>
      <c r="M10" s="401"/>
      <c r="N10" s="401"/>
      <c r="O10" s="1194"/>
    </row>
    <row r="11" spans="2:15" x14ac:dyDescent="0.25">
      <c r="B11" s="1193"/>
      <c r="C11" s="922" t="s">
        <v>59</v>
      </c>
      <c r="D11" s="1195" t="str">
        <f>IF('1A'!G5="","Enter Project Name on Form 1A",'1A'!G5)</f>
        <v>University District Apartments</v>
      </c>
      <c r="E11" s="1195"/>
      <c r="F11" s="1195"/>
      <c r="G11" s="1196"/>
      <c r="H11" s="1123"/>
      <c r="I11" s="401"/>
      <c r="J11" s="401"/>
      <c r="K11" s="401"/>
      <c r="L11" s="401"/>
      <c r="M11" s="401"/>
      <c r="N11" s="401"/>
      <c r="O11" s="1194"/>
    </row>
    <row r="12" spans="2:15" ht="22.5" customHeight="1" x14ac:dyDescent="0.25">
      <c r="B12" s="1193"/>
      <c r="C12" s="401"/>
      <c r="D12" s="401"/>
      <c r="E12" s="807"/>
      <c r="F12" s="807"/>
      <c r="G12" s="807"/>
      <c r="H12" s="401"/>
      <c r="I12" s="401"/>
      <c r="J12" s="401"/>
      <c r="K12" s="401"/>
      <c r="L12" s="401"/>
      <c r="M12" s="401"/>
      <c r="N12" s="401"/>
      <c r="O12" s="1194"/>
    </row>
    <row r="13" spans="2:15" ht="15.75" thickBot="1" x14ac:dyDescent="0.3">
      <c r="B13" s="1193"/>
      <c r="C13" s="922" t="s">
        <v>312</v>
      </c>
      <c r="D13" s="401"/>
      <c r="E13" s="1197"/>
      <c r="F13" s="1197"/>
      <c r="G13" s="1197"/>
      <c r="H13" s="1123"/>
      <c r="I13" s="1123"/>
      <c r="J13" s="401"/>
      <c r="K13" s="401"/>
      <c r="L13" s="401"/>
      <c r="M13" s="1123"/>
      <c r="N13" s="1123"/>
      <c r="O13" s="1198"/>
    </row>
    <row r="14" spans="2:15" ht="27" thickBot="1" x14ac:dyDescent="0.3">
      <c r="B14" s="1199"/>
      <c r="C14" s="2337" t="s">
        <v>313</v>
      </c>
      <c r="D14" s="2362"/>
      <c r="E14" s="1200" t="s">
        <v>314</v>
      </c>
      <c r="F14" s="1201" t="s">
        <v>315</v>
      </c>
      <c r="G14" s="1202" t="s">
        <v>316</v>
      </c>
      <c r="H14" s="1202" t="s">
        <v>656</v>
      </c>
      <c r="I14" s="1203" t="s">
        <v>317</v>
      </c>
      <c r="J14" s="2378" t="s">
        <v>318</v>
      </c>
      <c r="K14" s="2379"/>
      <c r="L14" s="401"/>
      <c r="M14" s="1204"/>
      <c r="N14" s="1204"/>
      <c r="O14" s="1205"/>
    </row>
    <row r="15" spans="2:15" x14ac:dyDescent="0.25">
      <c r="B15" s="1193"/>
      <c r="C15" s="2372" t="s">
        <v>1556</v>
      </c>
      <c r="D15" s="2373"/>
      <c r="E15" s="345">
        <v>7583566</v>
      </c>
      <c r="F15" s="346">
        <v>0</v>
      </c>
      <c r="G15" s="347">
        <v>0.03</v>
      </c>
      <c r="H15" s="348" t="s">
        <v>1584</v>
      </c>
      <c r="I15" s="1229">
        <v>0</v>
      </c>
      <c r="J15" s="2380" t="s">
        <v>1558</v>
      </c>
      <c r="K15" s="2381"/>
      <c r="L15" s="401"/>
      <c r="M15" s="401"/>
      <c r="N15" s="401"/>
      <c r="O15" s="1194"/>
    </row>
    <row r="16" spans="2:15" x14ac:dyDescent="0.25">
      <c r="B16" s="1193"/>
      <c r="C16" s="2374" t="s">
        <v>1557</v>
      </c>
      <c r="D16" s="2375"/>
      <c r="E16" s="345">
        <v>5900000</v>
      </c>
      <c r="F16" s="313">
        <v>0</v>
      </c>
      <c r="G16" s="314">
        <v>0.03</v>
      </c>
      <c r="H16" s="315" t="s">
        <v>1584</v>
      </c>
      <c r="I16" s="1230">
        <v>0</v>
      </c>
      <c r="J16" s="2382" t="s">
        <v>1541</v>
      </c>
      <c r="K16" s="2383"/>
      <c r="L16" s="401"/>
      <c r="M16" s="401"/>
      <c r="N16" s="401"/>
      <c r="O16" s="1194"/>
    </row>
    <row r="17" spans="2:16" ht="15.75" thickBot="1" x14ac:dyDescent="0.3">
      <c r="B17" s="1193"/>
      <c r="C17" s="2376"/>
      <c r="D17" s="2377"/>
      <c r="E17" s="316"/>
      <c r="F17" s="317"/>
      <c r="G17" s="318"/>
      <c r="H17" s="319"/>
      <c r="I17" s="1231"/>
      <c r="J17" s="2384"/>
      <c r="K17" s="2385"/>
      <c r="L17" s="401"/>
      <c r="M17" s="401"/>
      <c r="N17" s="401"/>
      <c r="O17" s="1194"/>
    </row>
    <row r="18" spans="2:16" ht="15.75" thickBot="1" x14ac:dyDescent="0.3">
      <c r="B18" s="1193"/>
      <c r="C18" s="2345" t="s">
        <v>319</v>
      </c>
      <c r="D18" s="2386"/>
      <c r="E18" s="1206">
        <f>SUM(E15:E17)</f>
        <v>13483566</v>
      </c>
      <c r="F18" s="1207">
        <f>SUM(F15:F17)</f>
        <v>0</v>
      </c>
      <c r="G18" s="320"/>
      <c r="H18" s="401"/>
      <c r="I18" s="401"/>
      <c r="J18" s="401"/>
      <c r="K18" s="401"/>
      <c r="L18" s="401"/>
      <c r="M18" s="401"/>
      <c r="N18" s="401"/>
      <c r="O18" s="1194"/>
    </row>
    <row r="19" spans="2:16" ht="3.75" customHeight="1" thickBot="1" x14ac:dyDescent="0.3">
      <c r="B19" s="1193"/>
      <c r="C19" s="321"/>
      <c r="D19" s="401"/>
      <c r="E19" s="337"/>
      <c r="F19" s="337"/>
      <c r="G19" s="320"/>
      <c r="H19" s="401"/>
      <c r="I19" s="401"/>
      <c r="J19" s="401"/>
      <c r="K19" s="401"/>
      <c r="L19" s="401"/>
      <c r="M19" s="401"/>
      <c r="N19" s="401"/>
      <c r="O19" s="1194"/>
    </row>
    <row r="20" spans="2:16" ht="15.75" thickBot="1" x14ac:dyDescent="0.3">
      <c r="B20" s="1193"/>
      <c r="C20" s="1208"/>
      <c r="D20" s="1209" t="s">
        <v>320</v>
      </c>
      <c r="E20" s="821"/>
      <c r="F20" s="344">
        <f>E18+F18</f>
        <v>13483566</v>
      </c>
      <c r="G20" s="807"/>
      <c r="H20" s="401"/>
      <c r="I20" s="401"/>
      <c r="J20" s="401"/>
      <c r="K20" s="401"/>
      <c r="L20" s="401"/>
      <c r="M20" s="401"/>
      <c r="N20" s="401"/>
      <c r="O20" s="1194"/>
    </row>
    <row r="21" spans="2:16" ht="7.5" customHeight="1" x14ac:dyDescent="0.25">
      <c r="B21" s="1193"/>
      <c r="C21" s="401"/>
      <c r="D21" s="401"/>
      <c r="E21" s="807"/>
      <c r="F21" s="807"/>
      <c r="G21" s="807"/>
      <c r="H21" s="401"/>
      <c r="I21" s="401"/>
      <c r="J21" s="401"/>
      <c r="K21" s="401"/>
      <c r="L21" s="401"/>
      <c r="M21" s="401"/>
      <c r="N21" s="401"/>
      <c r="O21" s="1194"/>
    </row>
    <row r="22" spans="2:16" ht="15.75" thickBot="1" x14ac:dyDescent="0.3">
      <c r="B22" s="1193"/>
      <c r="C22" s="922" t="s">
        <v>321</v>
      </c>
      <c r="D22" s="401"/>
      <c r="E22" s="1197"/>
      <c r="F22" s="1197"/>
      <c r="G22" s="1197"/>
      <c r="H22" s="1123"/>
      <c r="I22" s="1123"/>
      <c r="J22" s="401"/>
      <c r="K22" s="401"/>
      <c r="L22" s="401"/>
      <c r="M22" s="1123"/>
      <c r="N22" s="1123"/>
      <c r="O22" s="1198"/>
    </row>
    <row r="23" spans="2:16" ht="27" thickBot="1" x14ac:dyDescent="0.3">
      <c r="B23" s="1199"/>
      <c r="C23" s="2337" t="s">
        <v>322</v>
      </c>
      <c r="D23" s="2362"/>
      <c r="E23" s="1201" t="s">
        <v>314</v>
      </c>
      <c r="F23" s="1201" t="s">
        <v>315</v>
      </c>
      <c r="G23" s="1201" t="s">
        <v>323</v>
      </c>
      <c r="H23" s="1201" t="s">
        <v>324</v>
      </c>
      <c r="I23" s="1203" t="s">
        <v>325</v>
      </c>
      <c r="J23" s="1201" t="s">
        <v>326</v>
      </c>
      <c r="K23" s="1202" t="s">
        <v>316</v>
      </c>
      <c r="L23" s="1202" t="s">
        <v>327</v>
      </c>
      <c r="M23" s="1203" t="s">
        <v>317</v>
      </c>
      <c r="N23" s="1210" t="s">
        <v>654</v>
      </c>
      <c r="O23" s="1205"/>
    </row>
    <row r="24" spans="2:16" x14ac:dyDescent="0.25">
      <c r="B24" s="1193"/>
      <c r="C24" s="2367" t="s">
        <v>1559</v>
      </c>
      <c r="D24" s="2368"/>
      <c r="E24" s="325">
        <v>5820000</v>
      </c>
      <c r="F24" s="311"/>
      <c r="G24" s="327" t="s">
        <v>1603</v>
      </c>
      <c r="H24" s="328" t="s">
        <v>1604</v>
      </c>
      <c r="I24" s="2090">
        <v>42263</v>
      </c>
      <c r="J24" s="2091">
        <v>42341</v>
      </c>
      <c r="K24" s="1796">
        <v>0.01</v>
      </c>
      <c r="L24" s="326" t="s">
        <v>1646</v>
      </c>
      <c r="M24" s="326">
        <v>0</v>
      </c>
      <c r="N24" s="322" t="s">
        <v>1654</v>
      </c>
      <c r="O24" s="1194"/>
      <c r="P24" s="1188"/>
    </row>
    <row r="25" spans="2:16" x14ac:dyDescent="0.25">
      <c r="B25" s="1193"/>
      <c r="C25" s="2369" t="s">
        <v>1560</v>
      </c>
      <c r="D25" s="2370"/>
      <c r="E25" s="329">
        <v>7583566</v>
      </c>
      <c r="F25" s="313"/>
      <c r="G25" s="331" t="s">
        <v>1603</v>
      </c>
      <c r="H25" s="332" t="s">
        <v>1606</v>
      </c>
      <c r="I25" s="2092">
        <v>42461</v>
      </c>
      <c r="J25" s="2096">
        <v>42583</v>
      </c>
      <c r="K25" s="1798">
        <v>0.05</v>
      </c>
      <c r="L25" s="330" t="s">
        <v>1610</v>
      </c>
      <c r="M25" s="330">
        <v>35</v>
      </c>
      <c r="N25" s="323"/>
      <c r="O25" s="1194"/>
    </row>
    <row r="26" spans="2:16" x14ac:dyDescent="0.25">
      <c r="B26" s="1193"/>
      <c r="C26" s="2369" t="s">
        <v>1561</v>
      </c>
      <c r="D26" s="2370"/>
      <c r="E26" s="329">
        <v>1341467</v>
      </c>
      <c r="F26" s="313"/>
      <c r="G26" s="331" t="s">
        <v>1603</v>
      </c>
      <c r="H26" s="332" t="s">
        <v>1606</v>
      </c>
      <c r="I26" s="330" t="s">
        <v>1431</v>
      </c>
      <c r="J26" s="1797"/>
      <c r="K26" s="1798">
        <v>0.01</v>
      </c>
      <c r="L26" s="330" t="s">
        <v>1607</v>
      </c>
      <c r="M26" s="330">
        <v>12</v>
      </c>
      <c r="N26" s="323" t="s">
        <v>1608</v>
      </c>
      <c r="O26" s="1194"/>
    </row>
    <row r="27" spans="2:16" ht="26.25" x14ac:dyDescent="0.25">
      <c r="B27" s="1193"/>
      <c r="C27" s="1997" t="s">
        <v>1672</v>
      </c>
      <c r="D27" s="1998"/>
      <c r="E27" s="329">
        <v>75000</v>
      </c>
      <c r="F27" s="313"/>
      <c r="G27" s="331" t="s">
        <v>1603</v>
      </c>
      <c r="H27" s="332" t="s">
        <v>1604</v>
      </c>
      <c r="I27" s="2098">
        <v>42644</v>
      </c>
      <c r="J27" s="2096">
        <v>43343</v>
      </c>
      <c r="K27" s="1798">
        <v>0.01</v>
      </c>
      <c r="L27" s="330" t="s">
        <v>1610</v>
      </c>
      <c r="M27" s="330" t="s">
        <v>1431</v>
      </c>
      <c r="N27" s="2097" t="s">
        <v>1647</v>
      </c>
      <c r="O27" s="1194"/>
    </row>
    <row r="28" spans="2:16" x14ac:dyDescent="0.25">
      <c r="B28" s="1193"/>
      <c r="C28" s="2369"/>
      <c r="D28" s="2370"/>
      <c r="E28" s="329"/>
      <c r="F28" s="313"/>
      <c r="G28" s="331"/>
      <c r="H28" s="332"/>
      <c r="I28" s="330"/>
      <c r="J28" s="1797"/>
      <c r="K28" s="1798"/>
      <c r="L28" s="330"/>
      <c r="M28" s="330"/>
      <c r="N28" s="323"/>
      <c r="O28" s="1194"/>
    </row>
    <row r="29" spans="2:16" ht="15.75" thickBot="1" x14ac:dyDescent="0.3">
      <c r="B29" s="1193"/>
      <c r="C29" s="2365"/>
      <c r="D29" s="2366"/>
      <c r="E29" s="333"/>
      <c r="F29" s="317"/>
      <c r="G29" s="335"/>
      <c r="H29" s="336"/>
      <c r="I29" s="334"/>
      <c r="J29" s="1799"/>
      <c r="K29" s="1800"/>
      <c r="L29" s="334"/>
      <c r="M29" s="334"/>
      <c r="N29" s="324"/>
      <c r="O29" s="1194"/>
    </row>
    <row r="30" spans="2:16" ht="15.75" thickBot="1" x14ac:dyDescent="0.3">
      <c r="B30" s="1193"/>
      <c r="C30" s="2347" t="s">
        <v>328</v>
      </c>
      <c r="D30" s="2348"/>
      <c r="E30" s="342">
        <f>SUM(E24:E29)</f>
        <v>14820033</v>
      </c>
      <c r="F30" s="343">
        <f>SUM(F24:F29)</f>
        <v>0</v>
      </c>
      <c r="G30" s="1211"/>
      <c r="H30" s="1212"/>
      <c r="I30" s="792"/>
      <c r="J30" s="401"/>
      <c r="K30" s="401"/>
      <c r="L30" s="401"/>
      <c r="M30" s="792"/>
      <c r="N30" s="792"/>
      <c r="O30" s="1213"/>
    </row>
    <row r="31" spans="2:16" ht="3.75" customHeight="1" thickBot="1" x14ac:dyDescent="0.3">
      <c r="B31" s="1193"/>
      <c r="C31" s="321"/>
      <c r="D31" s="401"/>
      <c r="E31" s="337"/>
      <c r="F31" s="337"/>
      <c r="G31" s="320"/>
      <c r="H31" s="1214"/>
      <c r="I31" s="792"/>
      <c r="J31" s="401"/>
      <c r="K31" s="401"/>
      <c r="L31" s="401"/>
      <c r="M31" s="792"/>
      <c r="N31" s="792"/>
      <c r="O31" s="1213"/>
    </row>
    <row r="32" spans="2:16" ht="15.75" thickBot="1" x14ac:dyDescent="0.3">
      <c r="B32" s="1193"/>
      <c r="C32" s="821"/>
      <c r="D32" s="792" t="s">
        <v>329</v>
      </c>
      <c r="E32" s="792"/>
      <c r="F32" s="344">
        <f>E30+F30</f>
        <v>14820033</v>
      </c>
      <c r="G32" s="320"/>
      <c r="H32" s="1214"/>
      <c r="I32" s="792"/>
      <c r="J32" s="401"/>
      <c r="K32" s="401"/>
      <c r="L32" s="401"/>
      <c r="M32" s="792"/>
      <c r="N32" s="792"/>
      <c r="O32" s="1213"/>
    </row>
    <row r="33" spans="2:15" ht="3.75" customHeight="1" thickBot="1" x14ac:dyDescent="0.3">
      <c r="B33" s="1193"/>
      <c r="C33" s="401"/>
      <c r="D33" s="821"/>
      <c r="E33" s="337"/>
      <c r="F33" s="338"/>
      <c r="G33" s="320"/>
      <c r="H33" s="1214"/>
      <c r="I33" s="792"/>
      <c r="J33" s="401"/>
      <c r="K33" s="401"/>
      <c r="L33" s="401"/>
      <c r="M33" s="792"/>
      <c r="N33" s="792"/>
      <c r="O33" s="1213"/>
    </row>
    <row r="34" spans="2:15" ht="15.75" thickBot="1" x14ac:dyDescent="0.3">
      <c r="B34" s="1193"/>
      <c r="C34" s="821"/>
      <c r="D34" s="792" t="s">
        <v>1402</v>
      </c>
      <c r="E34" s="792"/>
      <c r="F34" s="344">
        <f>'6D- 4%'!G54*'6D- 4%'!G42*10</f>
        <v>8336272</v>
      </c>
      <c r="G34" s="1215" t="s">
        <v>330</v>
      </c>
      <c r="H34" s="1214"/>
      <c r="I34" s="792"/>
      <c r="J34" s="401"/>
      <c r="K34" s="401"/>
      <c r="L34" s="401"/>
      <c r="M34" s="792"/>
      <c r="N34" s="792"/>
      <c r="O34" s="1213"/>
    </row>
    <row r="35" spans="2:15" ht="3.75" customHeight="1" thickBot="1" x14ac:dyDescent="0.3">
      <c r="B35" s="1193"/>
      <c r="C35" s="1820"/>
      <c r="D35" s="821"/>
      <c r="E35" s="339"/>
      <c r="F35" s="338"/>
      <c r="G35" s="320"/>
      <c r="H35" s="1214"/>
      <c r="I35" s="1824"/>
      <c r="J35" s="1820"/>
      <c r="K35" s="1820"/>
      <c r="L35" s="1820"/>
      <c r="M35" s="1824"/>
      <c r="N35" s="1824"/>
      <c r="O35" s="1213"/>
    </row>
    <row r="36" spans="2:15" ht="15.75" thickBot="1" x14ac:dyDescent="0.3">
      <c r="B36" s="1193"/>
      <c r="C36" s="821"/>
      <c r="D36" s="792" t="s">
        <v>331</v>
      </c>
      <c r="E36" s="792"/>
      <c r="F36" s="344">
        <f>F32+F34</f>
        <v>23156305</v>
      </c>
      <c r="G36" s="807"/>
      <c r="H36" s="1214"/>
      <c r="I36" s="792"/>
      <c r="J36" s="2371"/>
      <c r="K36" s="2371"/>
      <c r="L36" s="2371"/>
      <c r="M36" s="2371"/>
      <c r="N36" s="401"/>
      <c r="O36" s="1194"/>
    </row>
    <row r="37" spans="2:15" ht="7.5" customHeight="1" x14ac:dyDescent="0.25">
      <c r="B37" s="1193"/>
      <c r="C37" s="401"/>
      <c r="D37" s="401"/>
      <c r="E37" s="807"/>
      <c r="F37" s="1216"/>
      <c r="G37" s="807"/>
      <c r="H37" s="401"/>
      <c r="I37" s="401"/>
      <c r="J37" s="401"/>
      <c r="K37" s="401"/>
      <c r="L37" s="401"/>
      <c r="M37" s="401"/>
      <c r="N37" s="401"/>
      <c r="O37" s="1194"/>
    </row>
    <row r="38" spans="2:15" ht="15.75" thickBot="1" x14ac:dyDescent="0.3">
      <c r="B38" s="1193"/>
      <c r="C38" s="922" t="s">
        <v>332</v>
      </c>
      <c r="D38" s="401"/>
      <c r="E38" s="807"/>
      <c r="F38" s="1216"/>
      <c r="G38" s="807"/>
      <c r="H38" s="401"/>
      <c r="I38" s="401"/>
      <c r="J38" s="401"/>
      <c r="K38" s="401"/>
      <c r="L38" s="401"/>
      <c r="M38" s="401"/>
      <c r="N38" s="401"/>
      <c r="O38" s="1194"/>
    </row>
    <row r="39" spans="2:15" ht="39.75" thickBot="1" x14ac:dyDescent="0.3">
      <c r="B39" s="1193"/>
      <c r="C39" s="2337" t="s">
        <v>653</v>
      </c>
      <c r="D39" s="2362"/>
      <c r="E39" s="1201" t="s">
        <v>314</v>
      </c>
      <c r="F39" s="1201" t="s">
        <v>315</v>
      </c>
      <c r="G39" s="1201" t="s">
        <v>323</v>
      </c>
      <c r="H39" s="1201" t="s">
        <v>324</v>
      </c>
      <c r="I39" s="1203" t="s">
        <v>325</v>
      </c>
      <c r="J39" s="1217" t="s">
        <v>326</v>
      </c>
      <c r="K39" s="1202" t="s">
        <v>316</v>
      </c>
      <c r="L39" s="1202" t="s">
        <v>327</v>
      </c>
      <c r="M39" s="1203" t="s">
        <v>317</v>
      </c>
      <c r="N39" s="1210" t="s">
        <v>655</v>
      </c>
      <c r="O39" s="1194"/>
    </row>
    <row r="40" spans="2:15" x14ac:dyDescent="0.25">
      <c r="B40" s="1193"/>
      <c r="C40" s="2363"/>
      <c r="D40" s="2364"/>
      <c r="E40" s="349"/>
      <c r="F40" s="346"/>
      <c r="G40" s="327"/>
      <c r="H40" s="328"/>
      <c r="I40" s="350"/>
      <c r="J40" s="1795"/>
      <c r="K40" s="1801"/>
      <c r="L40" s="350"/>
      <c r="M40" s="350"/>
      <c r="N40" s="351"/>
      <c r="O40" s="1194"/>
    </row>
    <row r="41" spans="2:15" ht="15.75" thickBot="1" x14ac:dyDescent="0.3">
      <c r="B41" s="1193"/>
      <c r="C41" s="2365"/>
      <c r="D41" s="2366"/>
      <c r="E41" s="333"/>
      <c r="F41" s="317"/>
      <c r="G41" s="335"/>
      <c r="H41" s="336"/>
      <c r="I41" s="340"/>
      <c r="J41" s="1799"/>
      <c r="K41" s="1802"/>
      <c r="L41" s="340"/>
      <c r="M41" s="340"/>
      <c r="N41" s="341"/>
      <c r="O41" s="1194"/>
    </row>
    <row r="42" spans="2:15" ht="15.75" thickBot="1" x14ac:dyDescent="0.3">
      <c r="B42" s="1193"/>
      <c r="C42" s="2347" t="s">
        <v>328</v>
      </c>
      <c r="D42" s="2348"/>
      <c r="E42" s="1218">
        <f>SUM(E40:E41)</f>
        <v>0</v>
      </c>
      <c r="F42" s="1219">
        <f>SUM(F40:F41)</f>
        <v>0</v>
      </c>
      <c r="G42" s="320"/>
      <c r="H42" s="792"/>
      <c r="I42" s="401"/>
      <c r="J42" s="401"/>
      <c r="K42" s="401"/>
      <c r="L42" s="401"/>
      <c r="M42" s="401"/>
      <c r="N42" s="401"/>
      <c r="O42" s="1194"/>
    </row>
    <row r="43" spans="2:15" ht="3.75" customHeight="1" thickBot="1" x14ac:dyDescent="0.3">
      <c r="B43" s="1193"/>
      <c r="C43" s="792"/>
      <c r="D43" s="401"/>
      <c r="E43" s="337"/>
      <c r="F43" s="338"/>
      <c r="G43" s="320"/>
      <c r="H43" s="792"/>
      <c r="I43" s="401"/>
      <c r="J43" s="401"/>
      <c r="K43" s="401"/>
      <c r="L43" s="401"/>
      <c r="M43" s="401"/>
      <c r="N43" s="401"/>
      <c r="O43" s="1194"/>
    </row>
    <row r="44" spans="2:15" ht="16.5" thickBot="1" x14ac:dyDescent="0.3">
      <c r="B44" s="1193"/>
      <c r="C44" s="1208"/>
      <c r="D44" s="792" t="s">
        <v>333</v>
      </c>
      <c r="E44" s="1220"/>
      <c r="F44" s="344">
        <f>E42+F42</f>
        <v>0</v>
      </c>
      <c r="G44" s="320"/>
      <c r="H44" s="1221"/>
      <c r="I44" s="792"/>
      <c r="J44" s="792"/>
      <c r="K44" s="792"/>
      <c r="L44" s="792"/>
      <c r="M44" s="792"/>
      <c r="N44" s="401"/>
      <c r="O44" s="1194"/>
    </row>
    <row r="45" spans="2:15" ht="9" customHeight="1" thickBot="1" x14ac:dyDescent="0.3">
      <c r="B45" s="1222"/>
      <c r="C45" s="1223"/>
      <c r="D45" s="1224"/>
      <c r="E45" s="1225"/>
      <c r="F45" s="1226"/>
      <c r="G45" s="1226"/>
      <c r="H45" s="1227"/>
      <c r="I45" s="1227"/>
      <c r="J45" s="1224"/>
      <c r="K45" s="1224"/>
      <c r="L45" s="1224"/>
      <c r="M45" s="1227"/>
      <c r="N45" s="1227"/>
      <c r="O45" s="1228"/>
    </row>
  </sheetData>
  <sheetProtection password="9F6B" sheet="1" objects="1" scenarios="1" formatCells="0" formatColumns="0" formatRows="0" insertRows="0"/>
  <mergeCells count="22">
    <mergeCell ref="J36:M36"/>
    <mergeCell ref="C9:N9"/>
    <mergeCell ref="C15:D15"/>
    <mergeCell ref="C14:D14"/>
    <mergeCell ref="C16:D16"/>
    <mergeCell ref="C17:D17"/>
    <mergeCell ref="J14:K14"/>
    <mergeCell ref="J15:K15"/>
    <mergeCell ref="J16:K16"/>
    <mergeCell ref="J17:K17"/>
    <mergeCell ref="C18:D18"/>
    <mergeCell ref="C39:D39"/>
    <mergeCell ref="C40:D40"/>
    <mergeCell ref="C41:D41"/>
    <mergeCell ref="C42:D42"/>
    <mergeCell ref="C23:D23"/>
    <mergeCell ref="C24:D24"/>
    <mergeCell ref="C25:D25"/>
    <mergeCell ref="C26:D26"/>
    <mergeCell ref="C28:D28"/>
    <mergeCell ref="C29:D29"/>
    <mergeCell ref="C30:D30"/>
  </mergeCells>
  <dataValidations count="2">
    <dataValidation type="list" allowBlank="1" showInputMessage="1" showErrorMessage="1" sqref="G24:G29 G40:G41">
      <formula1>"Grant,Loan"</formula1>
    </dataValidation>
    <dataValidation type="list" allowBlank="1" showInputMessage="1" showErrorMessage="1" sqref="H24:H29 H40:H41">
      <formula1>"Public,Private"</formula1>
    </dataValidation>
  </dataValidations>
  <pageMargins left="0.7" right="0.7" top="0.75" bottom="0.75" header="0.3" footer="0.3"/>
  <pageSetup scale="77" orientation="landscape" r:id="rId1"/>
  <headerFooter>
    <oddFooter>&amp;LForm 7A
Financing Sources&amp;CCFA Forms&amp;REdition: 2015
Version: 1.1</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7:P45"/>
  <sheetViews>
    <sheetView showGridLines="0" zoomScaleNormal="100" workbookViewId="0">
      <selection activeCell="C29" sqref="C29:D29"/>
    </sheetView>
  </sheetViews>
  <sheetFormatPr defaultRowHeight="15" x14ac:dyDescent="0.25"/>
  <cols>
    <col min="1" max="2" width="1.7109375" style="839" customWidth="1"/>
    <col min="3" max="3" width="14.28515625" style="839" customWidth="1"/>
    <col min="4" max="4" width="22.85546875" style="839" customWidth="1"/>
    <col min="5" max="6" width="17.140625" style="839" customWidth="1"/>
    <col min="7" max="8" width="9.140625" style="839"/>
    <col min="9" max="9" width="10" style="839" customWidth="1"/>
    <col min="10" max="10" width="11.5703125" style="839" customWidth="1"/>
    <col min="11" max="12" width="8.5703125" style="839" customWidth="1"/>
    <col min="13" max="13" width="11.42578125" style="839" customWidth="1"/>
    <col min="14" max="14" width="15" style="839" bestFit="1" customWidth="1"/>
    <col min="15" max="15" width="1.7109375" style="839" customWidth="1"/>
    <col min="16" max="16384" width="9.140625" style="839"/>
  </cols>
  <sheetData>
    <row r="7" spans="2:15" ht="9" customHeight="1" thickBot="1" x14ac:dyDescent="0.3"/>
    <row r="8" spans="2:15" ht="9" customHeight="1" x14ac:dyDescent="0.25">
      <c r="B8" s="1189"/>
      <c r="C8" s="1190"/>
      <c r="D8" s="1190"/>
      <c r="E8" s="1191"/>
      <c r="F8" s="1191"/>
      <c r="G8" s="1191"/>
      <c r="H8" s="1190"/>
      <c r="I8" s="1190"/>
      <c r="J8" s="1190"/>
      <c r="K8" s="1190"/>
      <c r="L8" s="1190"/>
      <c r="M8" s="1190"/>
      <c r="N8" s="1190"/>
      <c r="O8" s="1192"/>
    </row>
    <row r="9" spans="2:15" ht="18.75" x14ac:dyDescent="0.3">
      <c r="B9" s="1193"/>
      <c r="C9" s="2387" t="s">
        <v>1597</v>
      </c>
      <c r="D9" s="2387"/>
      <c r="E9" s="2387"/>
      <c r="F9" s="2387"/>
      <c r="G9" s="2387"/>
      <c r="H9" s="2387"/>
      <c r="I9" s="2387"/>
      <c r="J9" s="2387"/>
      <c r="K9" s="2387"/>
      <c r="L9" s="2387"/>
      <c r="M9" s="2387"/>
      <c r="N9" s="2387"/>
      <c r="O9" s="1194"/>
    </row>
    <row r="10" spans="2:15" x14ac:dyDescent="0.25">
      <c r="B10" s="1193"/>
      <c r="C10" s="1834"/>
      <c r="D10" s="1834"/>
      <c r="E10" s="1841"/>
      <c r="F10" s="1841"/>
      <c r="G10" s="1841"/>
      <c r="H10" s="1834"/>
      <c r="I10" s="1834"/>
      <c r="J10" s="1834"/>
      <c r="K10" s="1834"/>
      <c r="L10" s="1834"/>
      <c r="M10" s="1834"/>
      <c r="N10" s="1834"/>
      <c r="O10" s="1194"/>
    </row>
    <row r="11" spans="2:15" x14ac:dyDescent="0.25">
      <c r="B11" s="1193"/>
      <c r="C11" s="1842" t="s">
        <v>59</v>
      </c>
      <c r="D11" s="1840" t="str">
        <f>IF('1A'!G5="","Enter Project Name on Form 1A",'1A'!G5)</f>
        <v>University District Apartments</v>
      </c>
      <c r="E11" s="1840"/>
      <c r="F11" s="1840"/>
      <c r="G11" s="1196"/>
      <c r="H11" s="1123"/>
      <c r="I11" s="1834"/>
      <c r="J11" s="1834"/>
      <c r="K11" s="1834"/>
      <c r="L11" s="1834"/>
      <c r="M11" s="1834"/>
      <c r="N11" s="1834"/>
      <c r="O11" s="1194"/>
    </row>
    <row r="12" spans="2:15" ht="22.5" customHeight="1" x14ac:dyDescent="0.25">
      <c r="B12" s="1193"/>
      <c r="C12" s="1834"/>
      <c r="D12" s="1834"/>
      <c r="E12" s="1841"/>
      <c r="F12" s="1841"/>
      <c r="G12" s="1841"/>
      <c r="H12" s="1834"/>
      <c r="I12" s="1834"/>
      <c r="J12" s="1834"/>
      <c r="K12" s="1834"/>
      <c r="L12" s="1834"/>
      <c r="M12" s="1834"/>
      <c r="N12" s="1834"/>
      <c r="O12" s="1194"/>
    </row>
    <row r="13" spans="2:15" ht="15.75" thickBot="1" x14ac:dyDescent="0.3">
      <c r="B13" s="1193"/>
      <c r="C13" s="1842" t="s">
        <v>312</v>
      </c>
      <c r="D13" s="1834"/>
      <c r="E13" s="1197"/>
      <c r="F13" s="1197"/>
      <c r="G13" s="1197"/>
      <c r="H13" s="1123"/>
      <c r="I13" s="1123"/>
      <c r="J13" s="1834"/>
      <c r="K13" s="1834"/>
      <c r="L13" s="1834"/>
      <c r="M13" s="1123"/>
      <c r="N13" s="1123"/>
      <c r="O13" s="1198"/>
    </row>
    <row r="14" spans="2:15" ht="27" thickBot="1" x14ac:dyDescent="0.3">
      <c r="B14" s="1199"/>
      <c r="C14" s="2337" t="s">
        <v>313</v>
      </c>
      <c r="D14" s="2362"/>
      <c r="E14" s="1836" t="s">
        <v>314</v>
      </c>
      <c r="F14" s="1838" t="s">
        <v>315</v>
      </c>
      <c r="G14" s="1202" t="s">
        <v>316</v>
      </c>
      <c r="H14" s="1202" t="s">
        <v>656</v>
      </c>
      <c r="I14" s="1203" t="s">
        <v>317</v>
      </c>
      <c r="J14" s="2378" t="s">
        <v>318</v>
      </c>
      <c r="K14" s="2379"/>
      <c r="L14" s="1834"/>
      <c r="M14" s="1204"/>
      <c r="N14" s="1204"/>
      <c r="O14" s="1205"/>
    </row>
    <row r="15" spans="2:15" x14ac:dyDescent="0.25">
      <c r="B15" s="1193"/>
      <c r="C15" s="2372" t="s">
        <v>1562</v>
      </c>
      <c r="D15" s="2373"/>
      <c r="E15" s="345">
        <v>9300000</v>
      </c>
      <c r="F15" s="346">
        <v>0</v>
      </c>
      <c r="G15" s="347">
        <v>0.03</v>
      </c>
      <c r="H15" s="348" t="s">
        <v>1584</v>
      </c>
      <c r="I15" s="1229">
        <v>0</v>
      </c>
      <c r="J15" s="2380" t="s">
        <v>1563</v>
      </c>
      <c r="K15" s="2381"/>
      <c r="L15" s="1834"/>
      <c r="M15" s="1834"/>
      <c r="N15" s="1834"/>
      <c r="O15" s="1194"/>
    </row>
    <row r="16" spans="2:15" x14ac:dyDescent="0.25">
      <c r="B16" s="1193"/>
      <c r="C16" s="2374"/>
      <c r="D16" s="2375"/>
      <c r="E16" s="312"/>
      <c r="F16" s="313"/>
      <c r="G16" s="314"/>
      <c r="H16" s="315"/>
      <c r="I16" s="1230"/>
      <c r="J16" s="2382"/>
      <c r="K16" s="2383"/>
      <c r="L16" s="1834"/>
      <c r="M16" s="1834"/>
      <c r="N16" s="1834"/>
      <c r="O16" s="1194"/>
    </row>
    <row r="17" spans="2:16" ht="15.75" thickBot="1" x14ac:dyDescent="0.3">
      <c r="B17" s="1193"/>
      <c r="C17" s="2376"/>
      <c r="D17" s="2377"/>
      <c r="E17" s="316"/>
      <c r="F17" s="317"/>
      <c r="G17" s="318"/>
      <c r="H17" s="319"/>
      <c r="I17" s="1231"/>
      <c r="J17" s="2384"/>
      <c r="K17" s="2385"/>
      <c r="L17" s="1834"/>
      <c r="M17" s="1834"/>
      <c r="N17" s="1834"/>
      <c r="O17" s="1194"/>
    </row>
    <row r="18" spans="2:16" ht="15.75" thickBot="1" x14ac:dyDescent="0.3">
      <c r="B18" s="1193"/>
      <c r="C18" s="2345" t="s">
        <v>319</v>
      </c>
      <c r="D18" s="2386"/>
      <c r="E18" s="1206">
        <f>SUM(E15:E17)</f>
        <v>9300000</v>
      </c>
      <c r="F18" s="1207">
        <f>SUM(F15:F17)</f>
        <v>0</v>
      </c>
      <c r="G18" s="320"/>
      <c r="H18" s="1834"/>
      <c r="I18" s="1834"/>
      <c r="J18" s="1834"/>
      <c r="K18" s="1834"/>
      <c r="L18" s="1834"/>
      <c r="M18" s="1834"/>
      <c r="N18" s="1834"/>
      <c r="O18" s="1194"/>
    </row>
    <row r="19" spans="2:16" ht="3.75" customHeight="1" thickBot="1" x14ac:dyDescent="0.3">
      <c r="B19" s="1193"/>
      <c r="C19" s="321"/>
      <c r="D19" s="1834"/>
      <c r="E19" s="337"/>
      <c r="F19" s="337"/>
      <c r="G19" s="320"/>
      <c r="H19" s="1834"/>
      <c r="I19" s="1834"/>
      <c r="J19" s="1834"/>
      <c r="K19" s="1834"/>
      <c r="L19" s="1834"/>
      <c r="M19" s="1834"/>
      <c r="N19" s="1834"/>
      <c r="O19" s="1194"/>
    </row>
    <row r="20" spans="2:16" ht="15.75" thickBot="1" x14ac:dyDescent="0.3">
      <c r="B20" s="1193"/>
      <c r="C20" s="1208"/>
      <c r="D20" s="1209" t="s">
        <v>320</v>
      </c>
      <c r="E20" s="821"/>
      <c r="F20" s="344">
        <f>E18+F18</f>
        <v>9300000</v>
      </c>
      <c r="G20" s="1841"/>
      <c r="H20" s="1834"/>
      <c r="I20" s="1834"/>
      <c r="J20" s="1834"/>
      <c r="K20" s="1834"/>
      <c r="L20" s="1834"/>
      <c r="M20" s="1834"/>
      <c r="N20" s="1834"/>
      <c r="O20" s="1194"/>
    </row>
    <row r="21" spans="2:16" ht="7.5" customHeight="1" x14ac:dyDescent="0.25">
      <c r="B21" s="1193"/>
      <c r="C21" s="1834"/>
      <c r="D21" s="1834"/>
      <c r="E21" s="1841"/>
      <c r="F21" s="1841"/>
      <c r="G21" s="1841"/>
      <c r="H21" s="1834"/>
      <c r="I21" s="1834"/>
      <c r="J21" s="1834"/>
      <c r="K21" s="1834"/>
      <c r="L21" s="1834"/>
      <c r="M21" s="1834"/>
      <c r="N21" s="1834"/>
      <c r="O21" s="1194"/>
    </row>
    <row r="22" spans="2:16" ht="15.75" thickBot="1" x14ac:dyDescent="0.3">
      <c r="B22" s="1193"/>
      <c r="C22" s="1842" t="s">
        <v>321</v>
      </c>
      <c r="D22" s="1834"/>
      <c r="E22" s="1197"/>
      <c r="F22" s="1197"/>
      <c r="G22" s="1197"/>
      <c r="H22" s="1123"/>
      <c r="I22" s="1123"/>
      <c r="J22" s="1834"/>
      <c r="K22" s="1834"/>
      <c r="L22" s="1834"/>
      <c r="M22" s="1123"/>
      <c r="N22" s="1123"/>
      <c r="O22" s="1198"/>
    </row>
    <row r="23" spans="2:16" ht="27" thickBot="1" x14ac:dyDescent="0.3">
      <c r="B23" s="1199"/>
      <c r="C23" s="2337" t="s">
        <v>322</v>
      </c>
      <c r="D23" s="2362"/>
      <c r="E23" s="1838" t="s">
        <v>314</v>
      </c>
      <c r="F23" s="1838" t="s">
        <v>315</v>
      </c>
      <c r="G23" s="1838" t="s">
        <v>323</v>
      </c>
      <c r="H23" s="1838" t="s">
        <v>324</v>
      </c>
      <c r="I23" s="1203" t="s">
        <v>325</v>
      </c>
      <c r="J23" s="1838" t="s">
        <v>326</v>
      </c>
      <c r="K23" s="1202" t="s">
        <v>316</v>
      </c>
      <c r="L23" s="1202" t="s">
        <v>327</v>
      </c>
      <c r="M23" s="1203" t="s">
        <v>317</v>
      </c>
      <c r="N23" s="1839" t="s">
        <v>654</v>
      </c>
      <c r="O23" s="1205"/>
    </row>
    <row r="24" spans="2:16" x14ac:dyDescent="0.25">
      <c r="B24" s="1193"/>
      <c r="C24" s="2367" t="s">
        <v>1564</v>
      </c>
      <c r="D24" s="2368"/>
      <c r="E24" s="325">
        <v>790000</v>
      </c>
      <c r="F24" s="311"/>
      <c r="G24" s="327" t="s">
        <v>1603</v>
      </c>
      <c r="H24" s="328" t="s">
        <v>1604</v>
      </c>
      <c r="I24" s="2090">
        <v>42263</v>
      </c>
      <c r="J24" s="2100">
        <v>42341</v>
      </c>
      <c r="K24" s="1796">
        <v>0.01</v>
      </c>
      <c r="L24" s="326" t="s">
        <v>1646</v>
      </c>
      <c r="M24" s="326">
        <v>0</v>
      </c>
      <c r="N24" s="322" t="s">
        <v>1605</v>
      </c>
      <c r="O24" s="1194"/>
      <c r="P24" s="1188"/>
    </row>
    <row r="25" spans="2:16" x14ac:dyDescent="0.25">
      <c r="B25" s="1193"/>
      <c r="C25" s="2369" t="s">
        <v>925</v>
      </c>
      <c r="D25" s="2370"/>
      <c r="E25" s="329">
        <v>500000</v>
      </c>
      <c r="F25" s="313"/>
      <c r="G25" s="331" t="s">
        <v>1603</v>
      </c>
      <c r="H25" s="332" t="s">
        <v>1604</v>
      </c>
      <c r="I25" s="2092">
        <v>42257</v>
      </c>
      <c r="J25" s="2102">
        <v>42341</v>
      </c>
      <c r="K25" s="1798">
        <v>0.01</v>
      </c>
      <c r="L25" s="330" t="s">
        <v>1609</v>
      </c>
      <c r="M25" s="330">
        <v>40</v>
      </c>
      <c r="N25" s="323" t="s">
        <v>1605</v>
      </c>
      <c r="O25" s="1194"/>
    </row>
    <row r="26" spans="2:16" x14ac:dyDescent="0.25">
      <c r="B26" s="1193"/>
      <c r="C26" s="2369" t="s">
        <v>1602</v>
      </c>
      <c r="D26" s="2370"/>
      <c r="E26" s="329">
        <v>2500000</v>
      </c>
      <c r="F26" s="313"/>
      <c r="G26" s="331" t="s">
        <v>1603</v>
      </c>
      <c r="H26" s="332" t="s">
        <v>1604</v>
      </c>
      <c r="I26" s="2092">
        <v>42263</v>
      </c>
      <c r="J26" s="2101">
        <v>42341</v>
      </c>
      <c r="K26" s="1798">
        <v>0.01</v>
      </c>
      <c r="L26" s="330" t="s">
        <v>1609</v>
      </c>
      <c r="M26" s="330">
        <v>40</v>
      </c>
      <c r="N26" s="323" t="s">
        <v>1605</v>
      </c>
      <c r="O26" s="1194"/>
    </row>
    <row r="27" spans="2:16" x14ac:dyDescent="0.25">
      <c r="B27" s="1193"/>
      <c r="C27" s="2369" t="s">
        <v>321</v>
      </c>
      <c r="D27" s="2370"/>
      <c r="E27" s="329">
        <v>1088276</v>
      </c>
      <c r="F27" s="313"/>
      <c r="G27" s="331" t="s">
        <v>1603</v>
      </c>
      <c r="H27" s="332" t="s">
        <v>1606</v>
      </c>
      <c r="I27" s="330"/>
      <c r="J27" s="1797"/>
      <c r="K27" s="2103">
        <v>5.2499999999999998E-2</v>
      </c>
      <c r="L27" s="330" t="s">
        <v>1610</v>
      </c>
      <c r="M27" s="330">
        <v>35</v>
      </c>
      <c r="N27" s="323"/>
      <c r="O27" s="1194"/>
    </row>
    <row r="28" spans="2:16" x14ac:dyDescent="0.25">
      <c r="B28" s="1193"/>
      <c r="C28" s="2369" t="s">
        <v>1561</v>
      </c>
      <c r="D28" s="2370"/>
      <c r="E28" s="329">
        <v>308533</v>
      </c>
      <c r="F28" s="2079"/>
      <c r="G28" s="2080" t="s">
        <v>1603</v>
      </c>
      <c r="H28" s="2081" t="s">
        <v>1606</v>
      </c>
      <c r="I28" s="2082"/>
      <c r="J28" s="2083"/>
      <c r="K28" s="2084">
        <v>0.01</v>
      </c>
      <c r="L28" s="2082" t="s">
        <v>1607</v>
      </c>
      <c r="M28" s="2082"/>
      <c r="N28" s="2085" t="s">
        <v>1608</v>
      </c>
      <c r="O28" s="1194"/>
    </row>
    <row r="29" spans="2:16" ht="27" thickBot="1" x14ac:dyDescent="0.3">
      <c r="B29" s="1193"/>
      <c r="C29" s="2365" t="s">
        <v>1672</v>
      </c>
      <c r="D29" s="2366"/>
      <c r="E29" s="2078">
        <v>50000</v>
      </c>
      <c r="F29" s="317"/>
      <c r="G29" s="335" t="s">
        <v>1603</v>
      </c>
      <c r="H29" s="336" t="s">
        <v>1606</v>
      </c>
      <c r="I29" s="2104">
        <v>42644</v>
      </c>
      <c r="J29" s="1799" t="s">
        <v>1649</v>
      </c>
      <c r="K29" s="1800">
        <v>0.01</v>
      </c>
      <c r="L29" s="334" t="s">
        <v>1610</v>
      </c>
      <c r="M29" s="334">
        <v>17</v>
      </c>
      <c r="N29" s="2099" t="s">
        <v>1648</v>
      </c>
      <c r="O29" s="1194"/>
    </row>
    <row r="30" spans="2:16" ht="15.75" thickBot="1" x14ac:dyDescent="0.3">
      <c r="B30" s="1193"/>
      <c r="C30" s="2347" t="s">
        <v>328</v>
      </c>
      <c r="D30" s="2348"/>
      <c r="E30" s="342">
        <f>SUM(E24:E29)</f>
        <v>5236809</v>
      </c>
      <c r="F30" s="343">
        <f>SUM(F24:F29)</f>
        <v>0</v>
      </c>
      <c r="G30" s="1211"/>
      <c r="H30" s="1212"/>
      <c r="I30" s="1837"/>
      <c r="J30" s="1834"/>
      <c r="K30" s="1834"/>
      <c r="L30" s="1834"/>
      <c r="M30" s="1837"/>
      <c r="N30" s="1837"/>
      <c r="O30" s="1213"/>
    </row>
    <row r="31" spans="2:16" ht="3.75" customHeight="1" thickBot="1" x14ac:dyDescent="0.3">
      <c r="B31" s="1193"/>
      <c r="C31" s="321"/>
      <c r="D31" s="1834"/>
      <c r="E31" s="337"/>
      <c r="F31" s="337"/>
      <c r="G31" s="320"/>
      <c r="H31" s="1214"/>
      <c r="I31" s="1837"/>
      <c r="J31" s="1834"/>
      <c r="K31" s="1834"/>
      <c r="L31" s="1834"/>
      <c r="M31" s="1837"/>
      <c r="N31" s="1837"/>
      <c r="O31" s="1213"/>
    </row>
    <row r="32" spans="2:16" ht="15.75" thickBot="1" x14ac:dyDescent="0.3">
      <c r="B32" s="1193"/>
      <c r="C32" s="821"/>
      <c r="D32" s="1837" t="s">
        <v>329</v>
      </c>
      <c r="E32" s="1837"/>
      <c r="F32" s="344">
        <f>E30+F30</f>
        <v>5236809</v>
      </c>
      <c r="G32" s="320"/>
      <c r="H32" s="1214"/>
      <c r="I32" s="1837"/>
      <c r="J32" s="1834"/>
      <c r="K32" s="1834"/>
      <c r="L32" s="1834"/>
      <c r="M32" s="1837"/>
      <c r="N32" s="1837"/>
      <c r="O32" s="1213"/>
    </row>
    <row r="33" spans="2:15" ht="3.75" customHeight="1" thickBot="1" x14ac:dyDescent="0.3">
      <c r="B33" s="1193"/>
      <c r="C33" s="1834"/>
      <c r="D33" s="821"/>
      <c r="E33" s="337"/>
      <c r="F33" s="338"/>
      <c r="G33" s="320"/>
      <c r="H33" s="1214"/>
      <c r="I33" s="1837"/>
      <c r="J33" s="1834"/>
      <c r="K33" s="1834"/>
      <c r="L33" s="1834"/>
      <c r="M33" s="1837"/>
      <c r="N33" s="1837"/>
      <c r="O33" s="1213"/>
    </row>
    <row r="34" spans="2:15" ht="15.75" thickBot="1" x14ac:dyDescent="0.3">
      <c r="B34" s="1193"/>
      <c r="C34" s="821"/>
      <c r="D34" s="1837" t="s">
        <v>1401</v>
      </c>
      <c r="E34" s="1837"/>
      <c r="F34" s="344">
        <f>'6D - 9%'!G54*'6D - 9%'!G42*10</f>
        <v>10979003</v>
      </c>
      <c r="G34" s="1215" t="s">
        <v>330</v>
      </c>
      <c r="H34" s="1214"/>
      <c r="I34" s="1837"/>
      <c r="J34" s="1834"/>
      <c r="K34" s="1834"/>
      <c r="L34" s="1834"/>
      <c r="M34" s="1837"/>
      <c r="N34" s="1837"/>
      <c r="O34" s="1213"/>
    </row>
    <row r="35" spans="2:15" ht="3.75" customHeight="1" thickBot="1" x14ac:dyDescent="0.3">
      <c r="B35" s="1193"/>
      <c r="C35" s="1834"/>
      <c r="D35" s="821"/>
      <c r="E35" s="339"/>
      <c r="F35" s="338"/>
      <c r="G35" s="320"/>
      <c r="H35" s="1214"/>
      <c r="I35" s="1837"/>
      <c r="J35" s="1834"/>
      <c r="K35" s="1834"/>
      <c r="L35" s="1834"/>
      <c r="M35" s="1837"/>
      <c r="N35" s="1837"/>
      <c r="O35" s="1213"/>
    </row>
    <row r="36" spans="2:15" ht="15.75" thickBot="1" x14ac:dyDescent="0.3">
      <c r="B36" s="1193"/>
      <c r="C36" s="821"/>
      <c r="D36" s="1837" t="s">
        <v>331</v>
      </c>
      <c r="E36" s="1837"/>
      <c r="F36" s="344">
        <f>F32+F34</f>
        <v>16215812</v>
      </c>
      <c r="G36" s="1841"/>
      <c r="H36" s="1214"/>
      <c r="I36" s="1837"/>
      <c r="J36" s="2371"/>
      <c r="K36" s="2371"/>
      <c r="L36" s="2371"/>
      <c r="M36" s="2371"/>
      <c r="N36" s="1834"/>
      <c r="O36" s="1194"/>
    </row>
    <row r="37" spans="2:15" ht="7.5" customHeight="1" x14ac:dyDescent="0.25">
      <c r="B37" s="1193"/>
      <c r="C37" s="1834"/>
      <c r="D37" s="1834"/>
      <c r="E37" s="1841"/>
      <c r="F37" s="1216"/>
      <c r="G37" s="1841"/>
      <c r="H37" s="1834"/>
      <c r="I37" s="1834"/>
      <c r="J37" s="1834"/>
      <c r="K37" s="1834"/>
      <c r="L37" s="1834"/>
      <c r="M37" s="1834"/>
      <c r="N37" s="1834"/>
      <c r="O37" s="1194"/>
    </row>
    <row r="38" spans="2:15" ht="15.75" thickBot="1" x14ac:dyDescent="0.3">
      <c r="B38" s="1193"/>
      <c r="C38" s="1842" t="s">
        <v>332</v>
      </c>
      <c r="D38" s="1834"/>
      <c r="E38" s="1841"/>
      <c r="F38" s="1216"/>
      <c r="G38" s="1841"/>
      <c r="H38" s="1834"/>
      <c r="I38" s="1834"/>
      <c r="J38" s="1834"/>
      <c r="K38" s="1834"/>
      <c r="L38" s="1834"/>
      <c r="M38" s="1834"/>
      <c r="N38" s="1834"/>
      <c r="O38" s="1194"/>
    </row>
    <row r="39" spans="2:15" ht="39.75" thickBot="1" x14ac:dyDescent="0.3">
      <c r="B39" s="1193"/>
      <c r="C39" s="2337" t="s">
        <v>653</v>
      </c>
      <c r="D39" s="2362"/>
      <c r="E39" s="1838" t="s">
        <v>314</v>
      </c>
      <c r="F39" s="1838" t="s">
        <v>315</v>
      </c>
      <c r="G39" s="1838" t="s">
        <v>323</v>
      </c>
      <c r="H39" s="1838" t="s">
        <v>324</v>
      </c>
      <c r="I39" s="1203" t="s">
        <v>325</v>
      </c>
      <c r="J39" s="1217" t="s">
        <v>326</v>
      </c>
      <c r="K39" s="1202" t="s">
        <v>316</v>
      </c>
      <c r="L39" s="1202" t="s">
        <v>327</v>
      </c>
      <c r="M39" s="1203" t="s">
        <v>317</v>
      </c>
      <c r="N39" s="1839" t="s">
        <v>655</v>
      </c>
      <c r="O39" s="1194"/>
    </row>
    <row r="40" spans="2:15" x14ac:dyDescent="0.25">
      <c r="B40" s="1193"/>
      <c r="C40" s="2363" t="s">
        <v>1592</v>
      </c>
      <c r="D40" s="2364"/>
      <c r="E40" s="349">
        <v>295000</v>
      </c>
      <c r="F40" s="346"/>
      <c r="G40" s="327" t="s">
        <v>1603</v>
      </c>
      <c r="H40" s="328" t="s">
        <v>1606</v>
      </c>
      <c r="I40" s="350" t="s">
        <v>1431</v>
      </c>
      <c r="J40" s="1795" t="s">
        <v>1431</v>
      </c>
      <c r="K40" s="2094">
        <v>0.04</v>
      </c>
      <c r="L40" s="350"/>
      <c r="M40" s="350"/>
      <c r="N40" s="351" t="s">
        <v>1608</v>
      </c>
      <c r="O40" s="1194"/>
    </row>
    <row r="41" spans="2:15" ht="15.75" thickBot="1" x14ac:dyDescent="0.3">
      <c r="B41" s="1193"/>
      <c r="C41" s="2365" t="s">
        <v>1593</v>
      </c>
      <c r="D41" s="2366"/>
      <c r="E41" s="333">
        <v>264855</v>
      </c>
      <c r="F41" s="317"/>
      <c r="G41" s="335" t="s">
        <v>1603</v>
      </c>
      <c r="H41" s="336" t="s">
        <v>1606</v>
      </c>
      <c r="I41" s="340" t="s">
        <v>1431</v>
      </c>
      <c r="J41" s="1799" t="s">
        <v>1431</v>
      </c>
      <c r="K41" s="2093">
        <v>0.06</v>
      </c>
      <c r="L41" s="340" t="s">
        <v>1667</v>
      </c>
      <c r="M41" s="340">
        <v>25</v>
      </c>
      <c r="N41" s="341"/>
      <c r="O41" s="1194"/>
    </row>
    <row r="42" spans="2:15" ht="15.75" thickBot="1" x14ac:dyDescent="0.3">
      <c r="B42" s="1193"/>
      <c r="C42" s="2347" t="s">
        <v>328</v>
      </c>
      <c r="D42" s="2348"/>
      <c r="E42" s="1218">
        <f>SUM(E40:E41)</f>
        <v>559855</v>
      </c>
      <c r="F42" s="1219">
        <f>SUM(F40:F41)</f>
        <v>0</v>
      </c>
      <c r="G42" s="320"/>
      <c r="H42" s="1837"/>
      <c r="I42" s="1834"/>
      <c r="J42" s="1834"/>
      <c r="K42" s="1834"/>
      <c r="L42" s="1834"/>
      <c r="M42" s="1834"/>
      <c r="N42" s="1834"/>
      <c r="O42" s="1194"/>
    </row>
    <row r="43" spans="2:15" ht="3.75" customHeight="1" thickBot="1" x14ac:dyDescent="0.3">
      <c r="B43" s="1193"/>
      <c r="C43" s="1837"/>
      <c r="D43" s="1834"/>
      <c r="E43" s="337"/>
      <c r="F43" s="338"/>
      <c r="G43" s="320"/>
      <c r="H43" s="1837"/>
      <c r="I43" s="1834"/>
      <c r="J43" s="1834"/>
      <c r="K43" s="1834"/>
      <c r="L43" s="1834"/>
      <c r="M43" s="1834"/>
      <c r="N43" s="1834"/>
      <c r="O43" s="1194"/>
    </row>
    <row r="44" spans="2:15" ht="16.5" thickBot="1" x14ac:dyDescent="0.3">
      <c r="B44" s="1193"/>
      <c r="C44" s="1208"/>
      <c r="D44" s="1837" t="s">
        <v>333</v>
      </c>
      <c r="E44" s="1220"/>
      <c r="F44" s="344">
        <f>E42+F42</f>
        <v>559855</v>
      </c>
      <c r="G44" s="320"/>
      <c r="H44" s="1221"/>
      <c r="I44" s="1837"/>
      <c r="J44" s="1837"/>
      <c r="K44" s="1837"/>
      <c r="L44" s="1837"/>
      <c r="M44" s="1837"/>
      <c r="N44" s="1834"/>
      <c r="O44" s="1194"/>
    </row>
    <row r="45" spans="2:15" ht="9" customHeight="1" thickBot="1" x14ac:dyDescent="0.3">
      <c r="B45" s="1222"/>
      <c r="C45" s="1223"/>
      <c r="D45" s="1224"/>
      <c r="E45" s="1225"/>
      <c r="F45" s="1226"/>
      <c r="G45" s="1226"/>
      <c r="H45" s="1227"/>
      <c r="I45" s="1227"/>
      <c r="J45" s="1224"/>
      <c r="K45" s="1224"/>
      <c r="L45" s="1224"/>
      <c r="M45" s="1227"/>
      <c r="N45" s="1227"/>
      <c r="O45" s="1228"/>
    </row>
  </sheetData>
  <sheetProtection password="9F6B" sheet="1" objects="1" scenarios="1" formatCells="0" formatColumns="0" formatRows="0" insertRows="0"/>
  <mergeCells count="23">
    <mergeCell ref="C16:D16"/>
    <mergeCell ref="J16:K16"/>
    <mergeCell ref="C9:N9"/>
    <mergeCell ref="C14:D14"/>
    <mergeCell ref="J14:K14"/>
    <mergeCell ref="C15:D15"/>
    <mergeCell ref="J15:K15"/>
    <mergeCell ref="J36:M36"/>
    <mergeCell ref="C39:D39"/>
    <mergeCell ref="C17:D17"/>
    <mergeCell ref="J17:K17"/>
    <mergeCell ref="C18:D18"/>
    <mergeCell ref="C23:D23"/>
    <mergeCell ref="C24:D24"/>
    <mergeCell ref="C25:D25"/>
    <mergeCell ref="C28:D28"/>
    <mergeCell ref="C40:D40"/>
    <mergeCell ref="C41:D41"/>
    <mergeCell ref="C42:D42"/>
    <mergeCell ref="C26:D26"/>
    <mergeCell ref="C27:D27"/>
    <mergeCell ref="C29:D29"/>
    <mergeCell ref="C30:D30"/>
  </mergeCells>
  <dataValidations count="2">
    <dataValidation type="list" allowBlank="1" showInputMessage="1" showErrorMessage="1" sqref="H24:H29 H40:H41">
      <formula1>"Public,Private"</formula1>
    </dataValidation>
    <dataValidation type="list" allowBlank="1" showInputMessage="1" showErrorMessage="1" sqref="G24:G29 G40:G41">
      <formula1>"Grant,Loan"</formula1>
    </dataValidation>
  </dataValidations>
  <pageMargins left="0.7" right="0.7" top="0.75" bottom="0.75" header="0.3" footer="0.3"/>
  <pageSetup scale="77" orientation="landscape" r:id="rId1"/>
  <headerFooter>
    <oddFooter>&amp;LForm 7A
Financing Sources&amp;CCFA Forms&amp;REdition: 2015
Version: 1.1</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P111"/>
  <sheetViews>
    <sheetView showGridLines="0" zoomScaleNormal="100" workbookViewId="0">
      <selection activeCell="E48" sqref="E48"/>
    </sheetView>
  </sheetViews>
  <sheetFormatPr defaultRowHeight="15" x14ac:dyDescent="0.25"/>
  <cols>
    <col min="1" max="2" width="1.7109375" style="838" customWidth="1"/>
    <col min="3" max="3" width="14.28515625" style="838" customWidth="1"/>
    <col min="4" max="4" width="12.85546875" style="838" customWidth="1"/>
    <col min="5" max="13" width="11.42578125" style="838" customWidth="1"/>
    <col min="14" max="14" width="1.7109375" style="838" customWidth="1"/>
    <col min="15" max="15" width="9.140625" style="838"/>
    <col min="16" max="16" width="9.7109375" style="838" bestFit="1" customWidth="1"/>
    <col min="17" max="16384" width="9.140625" style="838"/>
  </cols>
  <sheetData>
    <row r="9" spans="2:14" ht="9" customHeight="1" thickBot="1" x14ac:dyDescent="0.3"/>
    <row r="10" spans="2:14" ht="9" customHeight="1" x14ac:dyDescent="0.25">
      <c r="B10" s="1233"/>
      <c r="C10" s="1234"/>
      <c r="D10" s="1234"/>
      <c r="E10" s="1234"/>
      <c r="F10" s="1234"/>
      <c r="G10" s="1234"/>
      <c r="H10" s="1234"/>
      <c r="I10" s="1234"/>
      <c r="J10" s="1234"/>
      <c r="K10" s="1234"/>
      <c r="L10" s="1234"/>
      <c r="M10" s="1234"/>
      <c r="N10" s="1235"/>
    </row>
    <row r="11" spans="2:14" ht="18.75" x14ac:dyDescent="0.3">
      <c r="B11" s="1236"/>
      <c r="C11" s="1649" t="s">
        <v>1599</v>
      </c>
      <c r="D11" s="1649"/>
      <c r="E11" s="1650"/>
      <c r="F11" s="1650"/>
      <c r="G11" s="1650"/>
      <c r="H11" s="1650"/>
      <c r="I11" s="1650"/>
      <c r="J11" s="1650"/>
      <c r="K11" s="1650"/>
      <c r="L11" s="1650"/>
      <c r="M11" s="1650"/>
      <c r="N11" s="1237"/>
    </row>
    <row r="12" spans="2:14" ht="15" customHeight="1" x14ac:dyDescent="0.25">
      <c r="B12" s="1236"/>
      <c r="C12" s="898"/>
      <c r="D12" s="898"/>
      <c r="E12" s="898"/>
      <c r="F12" s="898"/>
      <c r="G12" s="898"/>
      <c r="H12" s="898"/>
      <c r="I12" s="898"/>
      <c r="J12" s="898"/>
      <c r="K12" s="898"/>
      <c r="L12" s="898"/>
      <c r="M12" s="898"/>
      <c r="N12" s="1237"/>
    </row>
    <row r="13" spans="2:14" x14ac:dyDescent="0.25">
      <c r="B13" s="1238"/>
      <c r="C13" s="1239" t="s">
        <v>334</v>
      </c>
      <c r="D13" s="1240" t="str">
        <f>IF('1A'!G5="","Enter Project Name on Form 1A",'1A'!G5)</f>
        <v>University District Apartments</v>
      </c>
      <c r="E13" s="1240"/>
      <c r="F13" s="1240"/>
      <c r="G13" s="1240"/>
      <c r="H13" s="1240"/>
      <c r="I13" s="1240"/>
      <c r="J13" s="1241"/>
      <c r="K13" s="212"/>
      <c r="L13" s="810"/>
      <c r="M13" s="810"/>
      <c r="N13" s="1237"/>
    </row>
    <row r="14" spans="2:14" ht="7.5" customHeight="1" x14ac:dyDescent="0.25">
      <c r="B14" s="1238"/>
      <c r="C14" s="1242"/>
      <c r="D14" s="1242"/>
      <c r="E14" s="1243"/>
      <c r="F14" s="1243"/>
      <c r="G14" s="1243"/>
      <c r="H14" s="212"/>
      <c r="I14" s="212"/>
      <c r="J14" s="212"/>
      <c r="K14" s="212"/>
      <c r="L14" s="217"/>
      <c r="M14" s="212"/>
      <c r="N14" s="1237"/>
    </row>
    <row r="15" spans="2:14" x14ac:dyDescent="0.25">
      <c r="B15" s="1238"/>
      <c r="C15" s="217" t="s">
        <v>335</v>
      </c>
      <c r="D15" s="2077">
        <v>42262</v>
      </c>
      <c r="E15" s="1243"/>
      <c r="F15" s="1243"/>
      <c r="G15" s="1243"/>
      <c r="H15" s="212"/>
      <c r="I15" s="212"/>
      <c r="J15" s="212"/>
      <c r="K15" s="212"/>
      <c r="L15" s="217"/>
      <c r="M15" s="212"/>
      <c r="N15" s="1237"/>
    </row>
    <row r="16" spans="2:14" ht="15" customHeight="1" x14ac:dyDescent="0.25">
      <c r="B16" s="1238"/>
      <c r="C16" s="810"/>
      <c r="D16" s="810"/>
      <c r="E16" s="1242"/>
      <c r="F16" s="1244"/>
      <c r="G16" s="1245"/>
      <c r="H16" s="1246"/>
      <c r="I16" s="1242"/>
      <c r="J16" s="1242"/>
      <c r="K16" s="1242"/>
      <c r="L16" s="832"/>
      <c r="M16" s="832"/>
      <c r="N16" s="1237"/>
    </row>
    <row r="17" spans="2:16" ht="15.75" thickBot="1" x14ac:dyDescent="0.3">
      <c r="B17" s="1238"/>
      <c r="C17" s="211" t="s">
        <v>336</v>
      </c>
      <c r="D17" s="211"/>
      <c r="E17" s="1247"/>
      <c r="F17" s="1248"/>
      <c r="G17" s="212"/>
      <c r="H17" s="212"/>
      <c r="I17" s="212"/>
      <c r="J17" s="212"/>
      <c r="K17" s="1249"/>
      <c r="L17" s="212"/>
      <c r="M17" s="212"/>
      <c r="N17" s="1237"/>
    </row>
    <row r="18" spans="2:16" x14ac:dyDescent="0.25">
      <c r="B18" s="1238"/>
      <c r="C18" s="212"/>
      <c r="D18" s="212"/>
      <c r="E18" s="236" t="s">
        <v>337</v>
      </c>
      <c r="F18" s="237" t="s">
        <v>338</v>
      </c>
      <c r="G18" s="238" t="s">
        <v>339</v>
      </c>
      <c r="H18" s="237" t="s">
        <v>340</v>
      </c>
      <c r="I18" s="238" t="s">
        <v>337</v>
      </c>
      <c r="J18" s="237" t="s">
        <v>338</v>
      </c>
      <c r="K18" s="238" t="s">
        <v>339</v>
      </c>
      <c r="L18" s="239" t="s">
        <v>340</v>
      </c>
      <c r="M18" s="810"/>
      <c r="N18" s="1237"/>
    </row>
    <row r="19" spans="2:16" ht="15.75" thickBot="1" x14ac:dyDescent="0.3">
      <c r="B19" s="1238"/>
      <c r="C19" s="213" t="s">
        <v>312</v>
      </c>
      <c r="D19" s="213"/>
      <c r="E19" s="1651">
        <v>42644</v>
      </c>
      <c r="F19" s="1652">
        <v>42736</v>
      </c>
      <c r="G19" s="1652">
        <v>42826</v>
      </c>
      <c r="H19" s="1652">
        <v>42917</v>
      </c>
      <c r="I19" s="1652">
        <v>43009</v>
      </c>
      <c r="J19" s="1652">
        <v>43101</v>
      </c>
      <c r="K19" s="1652">
        <v>43191</v>
      </c>
      <c r="L19" s="1653">
        <v>43282</v>
      </c>
      <c r="M19" s="810"/>
      <c r="N19" s="1237"/>
      <c r="P19" s="1232"/>
    </row>
    <row r="20" spans="2:16" x14ac:dyDescent="0.25">
      <c r="B20" s="1238"/>
      <c r="C20" s="1250" t="s">
        <v>341</v>
      </c>
      <c r="D20" s="1250"/>
      <c r="E20" s="710">
        <v>0</v>
      </c>
      <c r="F20" s="711">
        <v>0</v>
      </c>
      <c r="G20" s="711">
        <v>0</v>
      </c>
      <c r="H20" s="711">
        <v>0</v>
      </c>
      <c r="I20" s="711">
        <v>0</v>
      </c>
      <c r="J20" s="711">
        <v>0</v>
      </c>
      <c r="K20" s="711">
        <v>0</v>
      </c>
      <c r="L20" s="712">
        <v>0</v>
      </c>
      <c r="M20" s="810"/>
      <c r="N20" s="1237"/>
    </row>
    <row r="21" spans="2:16" x14ac:dyDescent="0.25">
      <c r="B21" s="1238"/>
      <c r="C21" s="1251" t="str">
        <f>IF('7A - 4%'!C15=0,"Enter on 7A",'7A - 4%'!C15)</f>
        <v>Tier A  - Bond Convertible Loan</v>
      </c>
      <c r="D21" s="1251"/>
      <c r="E21" s="713">
        <v>449250</v>
      </c>
      <c r="F21" s="714">
        <v>3057522</v>
      </c>
      <c r="G21" s="714">
        <v>3080511</v>
      </c>
      <c r="H21" s="714">
        <v>996283</v>
      </c>
      <c r="I21" s="714">
        <v>0</v>
      </c>
      <c r="J21" s="714">
        <v>0</v>
      </c>
      <c r="K21" s="714">
        <v>0</v>
      </c>
      <c r="L21" s="715">
        <v>0</v>
      </c>
      <c r="M21" s="810"/>
      <c r="N21" s="1237"/>
    </row>
    <row r="22" spans="2:16" x14ac:dyDescent="0.25">
      <c r="B22" s="1238"/>
      <c r="C22" s="1251" t="str">
        <f>IF('7A - 4%'!C16=0,"Enter on 7A",'7A - 4%'!C16)</f>
        <v>Tier B - Bond - Construction</v>
      </c>
      <c r="D22" s="1251"/>
      <c r="E22" s="713">
        <v>0</v>
      </c>
      <c r="F22" s="714">
        <v>0</v>
      </c>
      <c r="G22" s="714">
        <v>0</v>
      </c>
      <c r="H22" s="714">
        <v>2104711</v>
      </c>
      <c r="I22" s="714">
        <v>3119190</v>
      </c>
      <c r="J22" s="714">
        <v>87716</v>
      </c>
      <c r="K22" s="714">
        <v>144338</v>
      </c>
      <c r="L22" s="715">
        <v>129683</v>
      </c>
      <c r="M22" s="810"/>
      <c r="N22" s="1237"/>
    </row>
    <row r="23" spans="2:16" ht="15.75" thickBot="1" x14ac:dyDescent="0.3">
      <c r="B23" s="1238"/>
      <c r="C23" s="1251" t="str">
        <f>IF('7A - 4%'!C17=0,"Enter on 7A",'7A - 4%'!C17)</f>
        <v>Enter on 7A</v>
      </c>
      <c r="D23" s="1251"/>
      <c r="E23" s="716">
        <v>0</v>
      </c>
      <c r="F23" s="717">
        <v>0</v>
      </c>
      <c r="G23" s="717">
        <v>0</v>
      </c>
      <c r="H23" s="717">
        <v>0</v>
      </c>
      <c r="I23" s="717">
        <v>0</v>
      </c>
      <c r="J23" s="717">
        <v>0</v>
      </c>
      <c r="K23" s="717">
        <v>0</v>
      </c>
      <c r="L23" s="718">
        <v>0</v>
      </c>
      <c r="M23" s="810"/>
      <c r="N23" s="1237"/>
    </row>
    <row r="24" spans="2:16" ht="15.75" thickBot="1" x14ac:dyDescent="0.3">
      <c r="B24" s="1238"/>
      <c r="C24" s="1074"/>
      <c r="D24" s="226" t="s">
        <v>342</v>
      </c>
      <c r="E24" s="719">
        <f>SUM(E20:E23)</f>
        <v>449250</v>
      </c>
      <c r="F24" s="720">
        <f t="shared" ref="F24:L24" si="0">SUM(F20:F23)</f>
        <v>3057522</v>
      </c>
      <c r="G24" s="720">
        <f t="shared" si="0"/>
        <v>3080511</v>
      </c>
      <c r="H24" s="720">
        <f t="shared" si="0"/>
        <v>3100994</v>
      </c>
      <c r="I24" s="720">
        <f t="shared" si="0"/>
        <v>3119190</v>
      </c>
      <c r="J24" s="720">
        <f t="shared" si="0"/>
        <v>87716</v>
      </c>
      <c r="K24" s="720">
        <f t="shared" si="0"/>
        <v>144338</v>
      </c>
      <c r="L24" s="721">
        <f t="shared" si="0"/>
        <v>129683</v>
      </c>
      <c r="M24" s="810"/>
      <c r="N24" s="1237"/>
    </row>
    <row r="25" spans="2:16" ht="3.75" customHeight="1" x14ac:dyDescent="0.25">
      <c r="B25" s="1238"/>
      <c r="C25" s="214"/>
      <c r="D25" s="214"/>
      <c r="E25" s="399"/>
      <c r="F25" s="220"/>
      <c r="G25" s="220"/>
      <c r="H25" s="220"/>
      <c r="I25" s="220"/>
      <c r="J25" s="220"/>
      <c r="K25" s="220"/>
      <c r="L25" s="1252"/>
      <c r="M25" s="810"/>
      <c r="N25" s="1237"/>
    </row>
    <row r="26" spans="2:16" ht="15.75" thickBot="1" x14ac:dyDescent="0.3">
      <c r="B26" s="1238"/>
      <c r="C26" s="213" t="s">
        <v>213</v>
      </c>
      <c r="D26" s="213"/>
      <c r="E26" s="399"/>
      <c r="F26" s="220"/>
      <c r="G26" s="220"/>
      <c r="H26" s="220"/>
      <c r="I26" s="220"/>
      <c r="J26" s="220"/>
      <c r="K26" s="220"/>
      <c r="L26" s="1253"/>
      <c r="M26" s="810"/>
      <c r="N26" s="1237"/>
    </row>
    <row r="27" spans="2:16" x14ac:dyDescent="0.25">
      <c r="B27" s="1238"/>
      <c r="C27" s="1254" t="str">
        <f>IF('7A - 4%'!C24=0,"Enter on 7A",'7A - 4%'!C24)</f>
        <v>City Of Seattle - Office of Housing</v>
      </c>
      <c r="D27" s="1254"/>
      <c r="E27" s="778">
        <v>5238000</v>
      </c>
      <c r="F27" s="779">
        <v>0</v>
      </c>
      <c r="G27" s="779">
        <v>0</v>
      </c>
      <c r="H27" s="779">
        <v>0</v>
      </c>
      <c r="I27" s="779">
        <v>0</v>
      </c>
      <c r="J27" s="779">
        <v>0</v>
      </c>
      <c r="K27" s="779">
        <v>0</v>
      </c>
      <c r="L27" s="780">
        <v>0</v>
      </c>
      <c r="M27" s="810"/>
      <c r="N27" s="1237"/>
    </row>
    <row r="28" spans="2:16" x14ac:dyDescent="0.25">
      <c r="B28" s="1238"/>
      <c r="C28" s="1255" t="str">
        <f>IF('7A - 4%'!C25=0,"Enter on 7A",'7A - 4%'!C25)</f>
        <v xml:space="preserve">4% Bonds - Perm </v>
      </c>
      <c r="D28" s="1255"/>
      <c r="E28" s="781">
        <v>0</v>
      </c>
      <c r="F28" s="782">
        <v>0</v>
      </c>
      <c r="G28" s="782">
        <v>0</v>
      </c>
      <c r="H28" s="782">
        <v>0</v>
      </c>
      <c r="I28" s="782">
        <v>0</v>
      </c>
      <c r="J28" s="782">
        <v>0</v>
      </c>
      <c r="K28" s="782">
        <v>0</v>
      </c>
      <c r="L28" s="783">
        <v>0</v>
      </c>
      <c r="M28" s="810"/>
      <c r="N28" s="1237"/>
    </row>
    <row r="29" spans="2:16" x14ac:dyDescent="0.25">
      <c r="B29" s="1238"/>
      <c r="C29" s="1255" t="str">
        <f>IF('7A - 4%'!C26=0,"Enter on 7A",'7A - 4%'!C26)</f>
        <v>Deferred Fee</v>
      </c>
      <c r="D29" s="1255"/>
      <c r="E29" s="781">
        <v>0</v>
      </c>
      <c r="F29" s="782">
        <v>0</v>
      </c>
      <c r="G29" s="782">
        <v>0</v>
      </c>
      <c r="H29" s="782">
        <v>0</v>
      </c>
      <c r="I29" s="782">
        <v>0</v>
      </c>
      <c r="J29" s="782">
        <v>0</v>
      </c>
      <c r="K29" s="782">
        <v>0</v>
      </c>
      <c r="L29" s="783">
        <v>0</v>
      </c>
      <c r="M29" s="810"/>
      <c r="N29" s="1237"/>
    </row>
    <row r="30" spans="2:16" x14ac:dyDescent="0.25">
      <c r="B30" s="1238"/>
      <c r="C30" s="1255" t="str">
        <f>IF('7A - 4%'!C27=0,"Enter on 7A",'7A - 4%'!C27)</f>
        <v xml:space="preserve">Energy Efficiency Incentives </v>
      </c>
      <c r="D30" s="1255"/>
      <c r="E30" s="781">
        <v>0</v>
      </c>
      <c r="F30" s="782">
        <v>0</v>
      </c>
      <c r="G30" s="782">
        <v>0</v>
      </c>
      <c r="H30" s="782">
        <v>0</v>
      </c>
      <c r="I30" s="782">
        <v>0</v>
      </c>
      <c r="J30" s="782">
        <v>0</v>
      </c>
      <c r="K30" s="782">
        <v>0</v>
      </c>
      <c r="L30" s="783">
        <v>0</v>
      </c>
      <c r="M30" s="810"/>
      <c r="N30" s="1237"/>
    </row>
    <row r="31" spans="2:16" x14ac:dyDescent="0.25">
      <c r="B31" s="1238"/>
      <c r="C31" s="1255" t="str">
        <f>IF('7A - 4%'!C28=0,"Enter on 7A",'7A - 4%'!C28)</f>
        <v>Enter on 7A</v>
      </c>
      <c r="D31" s="1255"/>
      <c r="E31" s="781">
        <v>0</v>
      </c>
      <c r="F31" s="782">
        <v>0</v>
      </c>
      <c r="G31" s="782">
        <v>0</v>
      </c>
      <c r="H31" s="782">
        <v>0</v>
      </c>
      <c r="I31" s="782">
        <v>0</v>
      </c>
      <c r="J31" s="782">
        <v>0</v>
      </c>
      <c r="K31" s="782">
        <v>0</v>
      </c>
      <c r="L31" s="783">
        <v>0</v>
      </c>
      <c r="M31" s="810"/>
      <c r="N31" s="1237"/>
    </row>
    <row r="32" spans="2:16" x14ac:dyDescent="0.25">
      <c r="B32" s="1238"/>
      <c r="C32" s="1255" t="str">
        <f>IF('7A - 4%'!C29=0,"Enter on 7A",'7A - 4%'!C29)</f>
        <v>Enter on 7A</v>
      </c>
      <c r="D32" s="1255"/>
      <c r="E32" s="781">
        <v>0</v>
      </c>
      <c r="F32" s="782">
        <v>0</v>
      </c>
      <c r="G32" s="782">
        <v>0</v>
      </c>
      <c r="H32" s="782">
        <v>0</v>
      </c>
      <c r="I32" s="782">
        <v>0</v>
      </c>
      <c r="J32" s="782">
        <v>0</v>
      </c>
      <c r="K32" s="782">
        <v>0</v>
      </c>
      <c r="L32" s="783">
        <v>0</v>
      </c>
      <c r="M32" s="810"/>
      <c r="N32" s="1237"/>
    </row>
    <row r="33" spans="2:14" x14ac:dyDescent="0.25">
      <c r="B33" s="1238"/>
      <c r="C33" s="1256" t="str">
        <f>IF('7A - 4%'!F34&lt;&gt;0,"LIHTC Equity","LIHTC Equity - Calculate on 6E")</f>
        <v>LIHTC Equity</v>
      </c>
      <c r="D33" s="1256"/>
      <c r="E33" s="781">
        <v>1250918</v>
      </c>
      <c r="F33" s="782">
        <v>0</v>
      </c>
      <c r="G33" s="782">
        <v>0</v>
      </c>
      <c r="H33" s="782">
        <v>0</v>
      </c>
      <c r="I33" s="782">
        <v>0</v>
      </c>
      <c r="J33" s="782">
        <v>1250918</v>
      </c>
      <c r="K33" s="782">
        <v>0</v>
      </c>
      <c r="L33" s="783">
        <v>0</v>
      </c>
      <c r="M33" s="810"/>
      <c r="N33" s="1237"/>
    </row>
    <row r="34" spans="2:14" x14ac:dyDescent="0.25">
      <c r="B34" s="1238"/>
      <c r="C34" s="1255" t="str">
        <f>IF('7A - 4%'!C40=0,"Enter on 7A",'7A - 4%'!C40)</f>
        <v>Enter on 7A</v>
      </c>
      <c r="D34" s="1255"/>
      <c r="E34" s="781">
        <v>0</v>
      </c>
      <c r="F34" s="782">
        <v>0</v>
      </c>
      <c r="G34" s="782">
        <v>0</v>
      </c>
      <c r="H34" s="782">
        <v>0</v>
      </c>
      <c r="I34" s="782">
        <v>0</v>
      </c>
      <c r="J34" s="782">
        <v>0</v>
      </c>
      <c r="K34" s="782">
        <v>0</v>
      </c>
      <c r="L34" s="783">
        <v>0</v>
      </c>
      <c r="M34" s="810"/>
      <c r="N34" s="1237"/>
    </row>
    <row r="35" spans="2:14" ht="15.75" thickBot="1" x14ac:dyDescent="0.3">
      <c r="B35" s="1238"/>
      <c r="C35" s="1255" t="str">
        <f>IF('7A - 4%'!C40=0,"Enter on 7A",'7A - 4%'!C40)</f>
        <v>Enter on 7A</v>
      </c>
      <c r="D35" s="1255"/>
      <c r="E35" s="784">
        <v>0</v>
      </c>
      <c r="F35" s="785">
        <v>0</v>
      </c>
      <c r="G35" s="785">
        <v>0</v>
      </c>
      <c r="H35" s="785">
        <v>0</v>
      </c>
      <c r="I35" s="785">
        <v>0</v>
      </c>
      <c r="J35" s="785">
        <v>0</v>
      </c>
      <c r="K35" s="785">
        <v>0</v>
      </c>
      <c r="L35" s="786">
        <v>0</v>
      </c>
      <c r="M35" s="810"/>
      <c r="N35" s="1237"/>
    </row>
    <row r="36" spans="2:14" ht="15.75" thickBot="1" x14ac:dyDescent="0.3">
      <c r="B36" s="1257"/>
      <c r="C36" s="1258"/>
      <c r="D36" s="215" t="s">
        <v>342</v>
      </c>
      <c r="E36" s="233">
        <f>SUM(E27:E35)</f>
        <v>6488918</v>
      </c>
      <c r="F36" s="234">
        <f t="shared" ref="F36:L36" si="1">SUM(F27:F35)</f>
        <v>0</v>
      </c>
      <c r="G36" s="234">
        <f t="shared" si="1"/>
        <v>0</v>
      </c>
      <c r="H36" s="234">
        <f t="shared" si="1"/>
        <v>0</v>
      </c>
      <c r="I36" s="234">
        <f t="shared" si="1"/>
        <v>0</v>
      </c>
      <c r="J36" s="234">
        <f t="shared" si="1"/>
        <v>1250918</v>
      </c>
      <c r="K36" s="234">
        <f t="shared" si="1"/>
        <v>0</v>
      </c>
      <c r="L36" s="235">
        <f t="shared" si="1"/>
        <v>0</v>
      </c>
      <c r="M36" s="810"/>
      <c r="N36" s="1237"/>
    </row>
    <row r="37" spans="2:14" ht="3.75" customHeight="1" thickBot="1" x14ac:dyDescent="0.3">
      <c r="B37" s="1257"/>
      <c r="C37" s="216"/>
      <c r="D37" s="216"/>
      <c r="E37" s="220"/>
      <c r="F37" s="220"/>
      <c r="G37" s="220"/>
      <c r="H37" s="220"/>
      <c r="I37" s="220"/>
      <c r="J37" s="220"/>
      <c r="K37" s="220"/>
      <c r="L37" s="1259"/>
      <c r="M37" s="810"/>
      <c r="N37" s="1237"/>
    </row>
    <row r="38" spans="2:14" ht="15.75" thickBot="1" x14ac:dyDescent="0.3">
      <c r="B38" s="1238"/>
      <c r="C38" s="213" t="s">
        <v>343</v>
      </c>
      <c r="D38" s="213"/>
      <c r="E38" s="233">
        <f t="shared" ref="E38:L38" si="2">E24+E36</f>
        <v>6938168</v>
      </c>
      <c r="F38" s="234">
        <f t="shared" si="2"/>
        <v>3057522</v>
      </c>
      <c r="G38" s="234">
        <f t="shared" si="2"/>
        <v>3080511</v>
      </c>
      <c r="H38" s="234">
        <f t="shared" si="2"/>
        <v>3100994</v>
      </c>
      <c r="I38" s="234">
        <f t="shared" si="2"/>
        <v>3119190</v>
      </c>
      <c r="J38" s="234">
        <f t="shared" si="2"/>
        <v>1338634</v>
      </c>
      <c r="K38" s="234">
        <f t="shared" si="2"/>
        <v>144338</v>
      </c>
      <c r="L38" s="235">
        <f t="shared" si="2"/>
        <v>129683</v>
      </c>
      <c r="M38" s="810"/>
      <c r="N38" s="1237"/>
    </row>
    <row r="39" spans="2:14" x14ac:dyDescent="0.25">
      <c r="B39" s="1238"/>
      <c r="C39" s="212"/>
      <c r="D39" s="212"/>
      <c r="E39" s="212"/>
      <c r="F39" s="212"/>
      <c r="G39" s="212"/>
      <c r="H39" s="212"/>
      <c r="I39" s="212"/>
      <c r="J39" s="1249"/>
      <c r="K39" s="212"/>
      <c r="L39" s="1260"/>
      <c r="M39" s="810"/>
      <c r="N39" s="1237"/>
    </row>
    <row r="40" spans="2:14" ht="15.75" thickBot="1" x14ac:dyDescent="0.3">
      <c r="B40" s="1238"/>
      <c r="C40" s="211" t="s">
        <v>344</v>
      </c>
      <c r="D40" s="211"/>
      <c r="E40" s="1261"/>
      <c r="F40" s="1262"/>
      <c r="G40" s="1262"/>
      <c r="H40" s="1262"/>
      <c r="I40" s="1262"/>
      <c r="J40" s="1262"/>
      <c r="K40" s="1263"/>
      <c r="L40" s="1264"/>
      <c r="M40" s="810"/>
      <c r="N40" s="1237"/>
    </row>
    <row r="41" spans="2:14" x14ac:dyDescent="0.25">
      <c r="B41" s="1265"/>
      <c r="C41" s="227" t="s">
        <v>23</v>
      </c>
      <c r="D41" s="352"/>
      <c r="E41" s="778">
        <v>2534110</v>
      </c>
      <c r="F41" s="779">
        <v>0</v>
      </c>
      <c r="G41" s="779">
        <v>0</v>
      </c>
      <c r="H41" s="779">
        <v>0</v>
      </c>
      <c r="I41" s="779">
        <v>0</v>
      </c>
      <c r="J41" s="779">
        <v>0</v>
      </c>
      <c r="K41" s="779">
        <v>0</v>
      </c>
      <c r="L41" s="780">
        <v>0</v>
      </c>
      <c r="M41" s="810"/>
      <c r="N41" s="1237"/>
    </row>
    <row r="42" spans="2:14" x14ac:dyDescent="0.25">
      <c r="B42" s="1265"/>
      <c r="C42" s="228" t="s">
        <v>345</v>
      </c>
      <c r="D42" s="228"/>
      <c r="E42" s="781">
        <v>2018657</v>
      </c>
      <c r="F42" s="782">
        <v>2953060</v>
      </c>
      <c r="G42" s="782">
        <v>2953060</v>
      </c>
      <c r="H42" s="782">
        <v>2953060</v>
      </c>
      <c r="I42" s="782">
        <v>2953060</v>
      </c>
      <c r="J42" s="782">
        <v>984351</v>
      </c>
      <c r="K42" s="782">
        <v>0</v>
      </c>
      <c r="L42" s="783">
        <v>0</v>
      </c>
      <c r="M42" s="810"/>
      <c r="N42" s="1237"/>
    </row>
    <row r="43" spans="2:14" x14ac:dyDescent="0.25">
      <c r="B43" s="1238"/>
      <c r="C43" s="228" t="s">
        <v>346</v>
      </c>
      <c r="D43" s="228"/>
      <c r="E43" s="781">
        <v>59001</v>
      </c>
      <c r="F43" s="782">
        <v>0</v>
      </c>
      <c r="G43" s="782">
        <v>0</v>
      </c>
      <c r="H43" s="782">
        <v>0</v>
      </c>
      <c r="I43" s="782">
        <v>0</v>
      </c>
      <c r="J43" s="782">
        <v>0</v>
      </c>
      <c r="K43" s="782">
        <v>0</v>
      </c>
      <c r="L43" s="783">
        <v>0</v>
      </c>
      <c r="M43" s="810"/>
      <c r="N43" s="1237"/>
    </row>
    <row r="44" spans="2:14" x14ac:dyDescent="0.25">
      <c r="B44" s="1238"/>
      <c r="C44" s="229" t="s">
        <v>207</v>
      </c>
      <c r="D44" s="229"/>
      <c r="E44" s="781">
        <v>102000</v>
      </c>
      <c r="F44" s="782">
        <v>56647</v>
      </c>
      <c r="G44" s="782">
        <v>79636</v>
      </c>
      <c r="H44" s="782">
        <v>100119</v>
      </c>
      <c r="I44" s="782">
        <v>118315</v>
      </c>
      <c r="J44" s="782">
        <v>108651</v>
      </c>
      <c r="K44" s="782">
        <v>96723</v>
      </c>
      <c r="L44" s="783">
        <v>97807</v>
      </c>
      <c r="M44" s="810"/>
      <c r="N44" s="1237"/>
    </row>
    <row r="45" spans="2:14" x14ac:dyDescent="0.25">
      <c r="B45" s="1238"/>
      <c r="C45" s="229" t="s">
        <v>213</v>
      </c>
      <c r="D45" s="229"/>
      <c r="E45" s="781">
        <v>88000</v>
      </c>
      <c r="F45" s="782">
        <v>0</v>
      </c>
      <c r="G45" s="782">
        <v>0</v>
      </c>
      <c r="H45" s="782">
        <v>0</v>
      </c>
      <c r="I45" s="782">
        <v>0</v>
      </c>
      <c r="J45" s="782">
        <v>0</v>
      </c>
      <c r="K45" s="782">
        <v>0</v>
      </c>
      <c r="L45" s="783">
        <v>0</v>
      </c>
      <c r="M45" s="810"/>
      <c r="N45" s="1237"/>
    </row>
    <row r="46" spans="2:14" x14ac:dyDescent="0.25">
      <c r="B46" s="1238"/>
      <c r="C46" s="229" t="s">
        <v>221</v>
      </c>
      <c r="D46" s="229"/>
      <c r="E46" s="781"/>
      <c r="F46" s="782">
        <v>0</v>
      </c>
      <c r="G46" s="782">
        <v>0</v>
      </c>
      <c r="H46" s="782">
        <v>0</v>
      </c>
      <c r="I46" s="782">
        <v>0</v>
      </c>
      <c r="J46" s="782">
        <v>0</v>
      </c>
      <c r="K46" s="782">
        <v>0</v>
      </c>
      <c r="L46" s="783">
        <v>0</v>
      </c>
      <c r="M46" s="810"/>
      <c r="N46" s="1237"/>
    </row>
    <row r="47" spans="2:14" x14ac:dyDescent="0.25">
      <c r="B47" s="1238"/>
      <c r="C47" s="229" t="s">
        <v>224</v>
      </c>
      <c r="D47" s="229"/>
      <c r="E47" s="781">
        <v>1996400</v>
      </c>
      <c r="F47" s="782">
        <v>47815</v>
      </c>
      <c r="G47" s="782">
        <v>47815</v>
      </c>
      <c r="H47" s="782">
        <v>47815</v>
      </c>
      <c r="I47" s="782">
        <v>47815</v>
      </c>
      <c r="J47" s="782">
        <v>245632</v>
      </c>
      <c r="K47" s="782">
        <v>47615</v>
      </c>
      <c r="L47" s="783">
        <v>31876</v>
      </c>
      <c r="M47" s="810"/>
      <c r="N47" s="1237"/>
    </row>
    <row r="48" spans="2:14" ht="15.75" thickBot="1" x14ac:dyDescent="0.3">
      <c r="B48" s="1238"/>
      <c r="C48" s="229" t="s">
        <v>347</v>
      </c>
      <c r="D48" s="229"/>
      <c r="E48" s="784">
        <v>140000</v>
      </c>
      <c r="F48" s="785">
        <v>0</v>
      </c>
      <c r="G48" s="785">
        <v>0</v>
      </c>
      <c r="H48" s="785">
        <v>0</v>
      </c>
      <c r="I48" s="785">
        <v>0</v>
      </c>
      <c r="J48" s="785">
        <v>0</v>
      </c>
      <c r="K48" s="785">
        <v>0</v>
      </c>
      <c r="L48" s="786">
        <v>0</v>
      </c>
      <c r="M48" s="810"/>
      <c r="N48" s="1237"/>
    </row>
    <row r="49" spans="2:14" ht="3.75" customHeight="1" thickBot="1" x14ac:dyDescent="0.3">
      <c r="B49" s="1238"/>
      <c r="C49" s="223"/>
      <c r="D49" s="223"/>
      <c r="E49" s="220"/>
      <c r="F49" s="220"/>
      <c r="G49" s="220"/>
      <c r="H49" s="220"/>
      <c r="I49" s="220"/>
      <c r="J49" s="220"/>
      <c r="K49" s="220"/>
      <c r="L49" s="220"/>
      <c r="M49" s="810"/>
      <c r="N49" s="1237"/>
    </row>
    <row r="50" spans="2:14" ht="15.75" thickBot="1" x14ac:dyDescent="0.3">
      <c r="B50" s="1238"/>
      <c r="C50" s="213" t="s">
        <v>348</v>
      </c>
      <c r="D50" s="213"/>
      <c r="E50" s="233">
        <f>SUM(E41:E48)</f>
        <v>6938168</v>
      </c>
      <c r="F50" s="234">
        <f t="shared" ref="F50:L50" si="3">SUM(F41:F48)</f>
        <v>3057522</v>
      </c>
      <c r="G50" s="234">
        <f t="shared" si="3"/>
        <v>3080511</v>
      </c>
      <c r="H50" s="234">
        <f t="shared" si="3"/>
        <v>3100994</v>
      </c>
      <c r="I50" s="234">
        <f t="shared" si="3"/>
        <v>3119190</v>
      </c>
      <c r="J50" s="234">
        <f t="shared" si="3"/>
        <v>1338634</v>
      </c>
      <c r="K50" s="234">
        <f t="shared" si="3"/>
        <v>144338</v>
      </c>
      <c r="L50" s="235">
        <f t="shared" si="3"/>
        <v>129683</v>
      </c>
      <c r="M50" s="810"/>
      <c r="N50" s="1237"/>
    </row>
    <row r="51" spans="2:14" ht="3.75" customHeight="1" thickBot="1" x14ac:dyDescent="0.3">
      <c r="B51" s="1238"/>
      <c r="C51" s="212"/>
      <c r="D51" s="212"/>
      <c r="E51" s="220"/>
      <c r="F51" s="220"/>
      <c r="G51" s="220"/>
      <c r="H51" s="220"/>
      <c r="I51" s="220"/>
      <c r="J51" s="1266"/>
      <c r="K51" s="212"/>
      <c r="L51" s="1264"/>
      <c r="M51" s="810"/>
      <c r="N51" s="1237"/>
    </row>
    <row r="52" spans="2:14" ht="15.75" thickBot="1" x14ac:dyDescent="0.3">
      <c r="B52" s="1238"/>
      <c r="C52" s="217" t="s">
        <v>349</v>
      </c>
      <c r="D52" s="217"/>
      <c r="E52" s="233">
        <f>E38-E50</f>
        <v>0</v>
      </c>
      <c r="F52" s="234">
        <f t="shared" ref="F52:L52" si="4">F38-F50</f>
        <v>0</v>
      </c>
      <c r="G52" s="234">
        <f t="shared" si="4"/>
        <v>0</v>
      </c>
      <c r="H52" s="234">
        <f t="shared" si="4"/>
        <v>0</v>
      </c>
      <c r="I52" s="234">
        <f t="shared" si="4"/>
        <v>0</v>
      </c>
      <c r="J52" s="234">
        <f t="shared" si="4"/>
        <v>0</v>
      </c>
      <c r="K52" s="234">
        <f t="shared" si="4"/>
        <v>0</v>
      </c>
      <c r="L52" s="235">
        <f t="shared" si="4"/>
        <v>0</v>
      </c>
      <c r="M52" s="810"/>
      <c r="N52" s="1237"/>
    </row>
    <row r="53" spans="2:14" ht="7.5" customHeight="1" x14ac:dyDescent="0.25">
      <c r="B53" s="1238"/>
      <c r="C53" s="212"/>
      <c r="D53" s="212"/>
      <c r="E53" s="212"/>
      <c r="F53" s="220"/>
      <c r="G53" s="220"/>
      <c r="H53" s="220"/>
      <c r="I53" s="220"/>
      <c r="J53" s="220"/>
      <c r="K53" s="220"/>
      <c r="L53" s="220"/>
      <c r="M53" s="220"/>
      <c r="N53" s="1237"/>
    </row>
    <row r="54" spans="2:14" x14ac:dyDescent="0.25">
      <c r="B54" s="1238"/>
      <c r="C54" s="218" t="s">
        <v>350</v>
      </c>
      <c r="D54" s="212"/>
      <c r="E54" s="814"/>
      <c r="F54" s="220"/>
      <c r="G54" s="220"/>
      <c r="H54" s="220"/>
      <c r="I54" s="220"/>
      <c r="J54" s="220"/>
      <c r="K54" s="220"/>
      <c r="L54" s="220"/>
      <c r="M54" s="220"/>
      <c r="N54" s="1237"/>
    </row>
    <row r="55" spans="2:14" ht="15" customHeight="1" x14ac:dyDescent="0.25">
      <c r="B55" s="1238"/>
      <c r="C55" s="2388" t="s">
        <v>1669</v>
      </c>
      <c r="D55" s="2389"/>
      <c r="E55" s="2389"/>
      <c r="F55" s="2389"/>
      <c r="G55" s="2389"/>
      <c r="H55" s="2389"/>
      <c r="I55" s="2389"/>
      <c r="J55" s="2389"/>
      <c r="K55" s="2389"/>
      <c r="L55" s="2390"/>
      <c r="M55" s="810"/>
      <c r="N55" s="1237"/>
    </row>
    <row r="56" spans="2:14" ht="15" customHeight="1" x14ac:dyDescent="0.25">
      <c r="B56" s="1238"/>
      <c r="C56" s="2391"/>
      <c r="D56" s="2392"/>
      <c r="E56" s="2392"/>
      <c r="F56" s="2392"/>
      <c r="G56" s="2392"/>
      <c r="H56" s="2392"/>
      <c r="I56" s="2392"/>
      <c r="J56" s="2392"/>
      <c r="K56" s="2392"/>
      <c r="L56" s="2393"/>
      <c r="M56" s="810"/>
      <c r="N56" s="1237"/>
    </row>
    <row r="57" spans="2:14" ht="15" customHeight="1" x14ac:dyDescent="0.25">
      <c r="B57" s="1238"/>
      <c r="C57" s="2391"/>
      <c r="D57" s="2392"/>
      <c r="E57" s="2392"/>
      <c r="F57" s="2392"/>
      <c r="G57" s="2392"/>
      <c r="H57" s="2392"/>
      <c r="I57" s="2392"/>
      <c r="J57" s="2392"/>
      <c r="K57" s="2392"/>
      <c r="L57" s="2393"/>
      <c r="M57" s="810"/>
      <c r="N57" s="1237"/>
    </row>
    <row r="58" spans="2:14" ht="15" customHeight="1" x14ac:dyDescent="0.25">
      <c r="B58" s="1238"/>
      <c r="C58" s="2394"/>
      <c r="D58" s="2395"/>
      <c r="E58" s="2395"/>
      <c r="F58" s="2395"/>
      <c r="G58" s="2395"/>
      <c r="H58" s="2395"/>
      <c r="I58" s="2395"/>
      <c r="J58" s="2395"/>
      <c r="K58" s="2395"/>
      <c r="L58" s="2396"/>
      <c r="M58" s="810"/>
      <c r="N58" s="1237"/>
    </row>
    <row r="59" spans="2:14" ht="9" customHeight="1" thickBot="1" x14ac:dyDescent="0.3">
      <c r="B59" s="1267"/>
      <c r="C59" s="834"/>
      <c r="D59" s="834"/>
      <c r="E59" s="1268"/>
      <c r="F59" s="1268"/>
      <c r="G59" s="1268"/>
      <c r="H59" s="1268"/>
      <c r="I59" s="1268"/>
      <c r="J59" s="1268"/>
      <c r="K59" s="1268"/>
      <c r="L59" s="1268"/>
      <c r="M59" s="1268"/>
      <c r="N59" s="1269"/>
    </row>
    <row r="60" spans="2:14" ht="3.75" customHeight="1" x14ac:dyDescent="0.25">
      <c r="B60" s="814"/>
      <c r="C60" s="814"/>
      <c r="D60" s="814"/>
      <c r="E60" s="814"/>
      <c r="F60" s="814"/>
      <c r="G60" s="814"/>
      <c r="H60" s="814"/>
      <c r="I60" s="814"/>
      <c r="J60" s="814"/>
      <c r="K60" s="814"/>
      <c r="L60" s="814"/>
      <c r="M60" s="814"/>
      <c r="N60" s="814"/>
    </row>
    <row r="61" spans="2:14" ht="3.75" customHeight="1" thickBot="1" x14ac:dyDescent="0.3">
      <c r="B61" s="814"/>
      <c r="C61" s="814"/>
      <c r="D61" s="814"/>
      <c r="E61" s="814"/>
      <c r="F61" s="814"/>
      <c r="G61" s="814"/>
      <c r="H61" s="814"/>
      <c r="I61" s="814"/>
      <c r="J61" s="814"/>
      <c r="K61" s="814"/>
      <c r="L61" s="814"/>
      <c r="M61" s="814"/>
      <c r="N61" s="814"/>
    </row>
    <row r="62" spans="2:14" ht="9" customHeight="1" x14ac:dyDescent="0.25">
      <c r="B62" s="1233"/>
      <c r="C62" s="1234"/>
      <c r="D62" s="1234"/>
      <c r="E62" s="1234"/>
      <c r="F62" s="1234"/>
      <c r="G62" s="1234"/>
      <c r="H62" s="1234"/>
      <c r="I62" s="1234"/>
      <c r="J62" s="1234"/>
      <c r="K62" s="1234"/>
      <c r="L62" s="1234"/>
      <c r="M62" s="1234"/>
      <c r="N62" s="1235"/>
    </row>
    <row r="63" spans="2:14" ht="18.75" x14ac:dyDescent="0.3">
      <c r="B63" s="1236"/>
      <c r="C63" s="2225" t="s">
        <v>1067</v>
      </c>
      <c r="D63" s="2225"/>
      <c r="E63" s="2225"/>
      <c r="F63" s="2225"/>
      <c r="G63" s="2225"/>
      <c r="H63" s="2225"/>
      <c r="I63" s="2225"/>
      <c r="J63" s="2225"/>
      <c r="K63" s="2225"/>
      <c r="L63" s="2225"/>
      <c r="M63" s="2225"/>
      <c r="N63" s="1237"/>
    </row>
    <row r="64" spans="2:14" ht="15" customHeight="1" x14ac:dyDescent="0.25">
      <c r="B64" s="1236"/>
      <c r="C64" s="898"/>
      <c r="D64" s="898"/>
      <c r="E64" s="898"/>
      <c r="F64" s="898"/>
      <c r="G64" s="898"/>
      <c r="H64" s="898"/>
      <c r="I64" s="898"/>
      <c r="J64" s="898"/>
      <c r="K64" s="898"/>
      <c r="L64" s="898"/>
      <c r="M64" s="898"/>
      <c r="N64" s="1237"/>
    </row>
    <row r="65" spans="2:14" x14ac:dyDescent="0.25">
      <c r="B65" s="1238"/>
      <c r="C65" s="1239" t="s">
        <v>334</v>
      </c>
      <c r="D65" s="1240" t="str">
        <f>IF('1A'!G5="","Enter Project Name on Form 1A",'1A'!G5)</f>
        <v>University District Apartments</v>
      </c>
      <c r="E65" s="1240"/>
      <c r="F65" s="1240"/>
      <c r="G65" s="1240"/>
      <c r="H65" s="1240"/>
      <c r="I65" s="1240"/>
      <c r="J65" s="1241"/>
      <c r="K65" s="212"/>
      <c r="L65" s="810"/>
      <c r="M65" s="810"/>
      <c r="N65" s="1237"/>
    </row>
    <row r="66" spans="2:14" ht="7.5" customHeight="1" x14ac:dyDescent="0.25">
      <c r="B66" s="1238"/>
      <c r="C66" s="1242"/>
      <c r="D66" s="1242"/>
      <c r="E66" s="1243"/>
      <c r="F66" s="1243"/>
      <c r="G66" s="1243"/>
      <c r="H66" s="212"/>
      <c r="I66" s="212"/>
      <c r="J66" s="212"/>
      <c r="K66" s="212"/>
      <c r="L66" s="217"/>
      <c r="M66" s="212"/>
      <c r="N66" s="1237"/>
    </row>
    <row r="67" spans="2:14" x14ac:dyDescent="0.25">
      <c r="B67" s="1238"/>
      <c r="C67" s="217" t="s">
        <v>335</v>
      </c>
      <c r="D67" s="1270">
        <f>IF(D15=0,"",D15)</f>
        <v>42262</v>
      </c>
      <c r="E67" s="1243"/>
      <c r="F67" s="1243"/>
      <c r="G67" s="1243"/>
      <c r="H67" s="212"/>
      <c r="I67" s="212"/>
      <c r="J67" s="212"/>
      <c r="K67" s="212"/>
      <c r="L67" s="217"/>
      <c r="M67" s="212"/>
      <c r="N67" s="1237"/>
    </row>
    <row r="68" spans="2:14" ht="15" customHeight="1" x14ac:dyDescent="0.25">
      <c r="B68" s="1238"/>
      <c r="C68" s="810"/>
      <c r="D68" s="810"/>
      <c r="E68" s="1242"/>
      <c r="F68" s="1244"/>
      <c r="G68" s="1245"/>
      <c r="H68" s="1246"/>
      <c r="I68" s="1242"/>
      <c r="J68" s="1242"/>
      <c r="K68" s="1242"/>
      <c r="L68" s="832"/>
      <c r="M68" s="832"/>
      <c r="N68" s="1237"/>
    </row>
    <row r="69" spans="2:14" ht="15.75" thickBot="1" x14ac:dyDescent="0.3">
      <c r="B69" s="1238"/>
      <c r="C69" s="211" t="s">
        <v>336</v>
      </c>
      <c r="D69" s="211"/>
      <c r="E69" s="1271"/>
      <c r="F69" s="212"/>
      <c r="G69" s="212"/>
      <c r="H69" s="212"/>
      <c r="I69" s="212"/>
      <c r="J69" s="212"/>
      <c r="K69" s="1249"/>
      <c r="L69" s="212"/>
      <c r="M69" s="212"/>
      <c r="N69" s="1237"/>
    </row>
    <row r="70" spans="2:14" x14ac:dyDescent="0.25">
      <c r="B70" s="1238"/>
      <c r="C70" s="212"/>
      <c r="D70" s="212"/>
      <c r="E70" s="240" t="s">
        <v>337</v>
      </c>
      <c r="F70" s="237" t="s">
        <v>338</v>
      </c>
      <c r="G70" s="238" t="s">
        <v>339</v>
      </c>
      <c r="H70" s="237" t="s">
        <v>340</v>
      </c>
      <c r="I70" s="238" t="s">
        <v>337</v>
      </c>
      <c r="J70" s="237" t="s">
        <v>338</v>
      </c>
      <c r="K70" s="238" t="s">
        <v>339</v>
      </c>
      <c r="L70" s="237" t="s">
        <v>340</v>
      </c>
      <c r="M70" s="724" t="s">
        <v>351</v>
      </c>
      <c r="N70" s="1237"/>
    </row>
    <row r="71" spans="2:14" ht="15.75" thickBot="1" x14ac:dyDescent="0.3">
      <c r="B71" s="1238"/>
      <c r="C71" s="213" t="s">
        <v>312</v>
      </c>
      <c r="D71" s="213"/>
      <c r="E71" s="1651">
        <v>43014</v>
      </c>
      <c r="F71" s="1652">
        <v>43101</v>
      </c>
      <c r="G71" s="1652">
        <v>43191</v>
      </c>
      <c r="H71" s="1652">
        <v>43282</v>
      </c>
      <c r="I71" s="1652">
        <v>43374</v>
      </c>
      <c r="J71" s="1652">
        <v>43466</v>
      </c>
      <c r="K71" s="1652">
        <v>43556</v>
      </c>
      <c r="L71" s="1653">
        <v>43647</v>
      </c>
      <c r="M71" s="725"/>
      <c r="N71" s="1237"/>
    </row>
    <row r="72" spans="2:14" x14ac:dyDescent="0.25">
      <c r="B72" s="1238"/>
      <c r="C72" s="1251" t="str">
        <f>C20</f>
        <v>Rental/Other Income</v>
      </c>
      <c r="D72" s="1251"/>
      <c r="E72" s="710">
        <v>0</v>
      </c>
      <c r="F72" s="711">
        <v>0</v>
      </c>
      <c r="G72" s="711">
        <v>0</v>
      </c>
      <c r="H72" s="711">
        <v>0</v>
      </c>
      <c r="I72" s="711">
        <v>0</v>
      </c>
      <c r="J72" s="711">
        <v>0</v>
      </c>
      <c r="K72" s="711">
        <v>0</v>
      </c>
      <c r="L72" s="712">
        <v>0</v>
      </c>
      <c r="M72" s="723">
        <f>SUM(E20:L20)+SUM(E72:L72)</f>
        <v>0</v>
      </c>
      <c r="N72" s="1237"/>
    </row>
    <row r="73" spans="2:14" x14ac:dyDescent="0.25">
      <c r="B73" s="1238"/>
      <c r="C73" s="1251" t="str">
        <f>C21</f>
        <v>Tier A  - Bond Convertible Loan</v>
      </c>
      <c r="D73" s="1251"/>
      <c r="E73" s="713">
        <v>0</v>
      </c>
      <c r="F73" s="714">
        <v>0</v>
      </c>
      <c r="G73" s="714">
        <v>0</v>
      </c>
      <c r="H73" s="714">
        <v>0</v>
      </c>
      <c r="I73" s="714">
        <v>0</v>
      </c>
      <c r="J73" s="714">
        <v>0</v>
      </c>
      <c r="K73" s="714">
        <v>0</v>
      </c>
      <c r="L73" s="715">
        <v>0</v>
      </c>
      <c r="M73" s="722">
        <f>SUM(E21:L21)+SUM(E73:L73)</f>
        <v>7583566</v>
      </c>
      <c r="N73" s="1237"/>
    </row>
    <row r="74" spans="2:14" x14ac:dyDescent="0.25">
      <c r="B74" s="1238"/>
      <c r="C74" s="1251" t="str">
        <f>C22</f>
        <v>Tier B - Bond - Construction</v>
      </c>
      <c r="D74" s="1251"/>
      <c r="E74" s="713">
        <v>0</v>
      </c>
      <c r="F74" s="714">
        <v>0</v>
      </c>
      <c r="G74" s="714">
        <v>0</v>
      </c>
      <c r="H74" s="714">
        <v>0</v>
      </c>
      <c r="I74" s="714">
        <v>0</v>
      </c>
      <c r="J74" s="714">
        <v>0</v>
      </c>
      <c r="K74" s="714">
        <v>0</v>
      </c>
      <c r="L74" s="715">
        <v>0</v>
      </c>
      <c r="M74" s="231">
        <f>SUM(E22:L22)+SUM(E74:L74)</f>
        <v>5585638</v>
      </c>
      <c r="N74" s="1237"/>
    </row>
    <row r="75" spans="2:14" ht="15.75" thickBot="1" x14ac:dyDescent="0.3">
      <c r="B75" s="1238"/>
      <c r="C75" s="1251" t="str">
        <f>C23</f>
        <v>Enter on 7A</v>
      </c>
      <c r="D75" s="1251"/>
      <c r="E75" s="716">
        <v>0</v>
      </c>
      <c r="F75" s="717">
        <v>0</v>
      </c>
      <c r="G75" s="717">
        <v>0</v>
      </c>
      <c r="H75" s="717">
        <v>0</v>
      </c>
      <c r="I75" s="717">
        <v>0</v>
      </c>
      <c r="J75" s="717">
        <v>0</v>
      </c>
      <c r="K75" s="717">
        <v>0</v>
      </c>
      <c r="L75" s="718">
        <v>0</v>
      </c>
      <c r="M75" s="232">
        <f>SUM(E23:L23)+SUM(E75:L75)</f>
        <v>0</v>
      </c>
      <c r="N75" s="1237"/>
    </row>
    <row r="76" spans="2:14" ht="15.75" thickBot="1" x14ac:dyDescent="0.3">
      <c r="B76" s="1238"/>
      <c r="C76" s="1074"/>
      <c r="D76" s="226" t="s">
        <v>342</v>
      </c>
      <c r="E76" s="719">
        <f>SUM(E72:E75)</f>
        <v>0</v>
      </c>
      <c r="F76" s="720">
        <f t="shared" ref="F76:L76" si="5">SUM(F72:F75)</f>
        <v>0</v>
      </c>
      <c r="G76" s="720">
        <f t="shared" si="5"/>
        <v>0</v>
      </c>
      <c r="H76" s="720">
        <f t="shared" si="5"/>
        <v>0</v>
      </c>
      <c r="I76" s="720">
        <f t="shared" si="5"/>
        <v>0</v>
      </c>
      <c r="J76" s="720">
        <f t="shared" si="5"/>
        <v>0</v>
      </c>
      <c r="K76" s="720">
        <f t="shared" si="5"/>
        <v>0</v>
      </c>
      <c r="L76" s="721">
        <f t="shared" si="5"/>
        <v>0</v>
      </c>
      <c r="M76" s="219">
        <f>SUM(M72:M75)</f>
        <v>13169204</v>
      </c>
      <c r="N76" s="1237"/>
    </row>
    <row r="77" spans="2:14" ht="3.75" customHeight="1" x14ac:dyDescent="0.25">
      <c r="B77" s="1238"/>
      <c r="C77" s="214"/>
      <c r="D77" s="214"/>
      <c r="E77" s="399"/>
      <c r="F77" s="220"/>
      <c r="G77" s="220"/>
      <c r="H77" s="220"/>
      <c r="I77" s="220"/>
      <c r="J77" s="220"/>
      <c r="K77" s="220"/>
      <c r="L77" s="220"/>
      <c r="M77" s="220"/>
      <c r="N77" s="1237"/>
    </row>
    <row r="78" spans="2:14" ht="15.75" thickBot="1" x14ac:dyDescent="0.3">
      <c r="B78" s="1238"/>
      <c r="C78" s="213" t="s">
        <v>213</v>
      </c>
      <c r="D78" s="213"/>
      <c r="E78" s="399"/>
      <c r="F78" s="220"/>
      <c r="G78" s="220"/>
      <c r="H78" s="220"/>
      <c r="I78" s="220"/>
      <c r="J78" s="220"/>
      <c r="K78" s="220"/>
      <c r="L78" s="220"/>
      <c r="M78" s="220"/>
      <c r="N78" s="1237"/>
    </row>
    <row r="79" spans="2:14" x14ac:dyDescent="0.25">
      <c r="B79" s="1238"/>
      <c r="C79" s="1254" t="str">
        <f t="shared" ref="C79:C87" si="6">C27</f>
        <v>City Of Seattle - Office of Housing</v>
      </c>
      <c r="D79" s="1254"/>
      <c r="E79" s="778">
        <v>0</v>
      </c>
      <c r="F79" s="779">
        <v>0</v>
      </c>
      <c r="G79" s="779">
        <v>0</v>
      </c>
      <c r="H79" s="779">
        <v>0</v>
      </c>
      <c r="I79" s="779">
        <v>0</v>
      </c>
      <c r="J79" s="779">
        <v>0</v>
      </c>
      <c r="K79" s="779">
        <v>0</v>
      </c>
      <c r="L79" s="780">
        <v>0</v>
      </c>
      <c r="M79" s="230">
        <f t="shared" ref="M79:M87" si="7">SUM(E27:L27)+SUM(E79:L79)</f>
        <v>5238000</v>
      </c>
      <c r="N79" s="1237"/>
    </row>
    <row r="80" spans="2:14" x14ac:dyDescent="0.25">
      <c r="B80" s="1238"/>
      <c r="C80" s="1255" t="str">
        <f t="shared" si="6"/>
        <v xml:space="preserve">4% Bonds - Perm </v>
      </c>
      <c r="D80" s="1255"/>
      <c r="E80" s="781">
        <v>0</v>
      </c>
      <c r="F80" s="782">
        <v>0</v>
      </c>
      <c r="G80" s="782">
        <v>0</v>
      </c>
      <c r="H80" s="782">
        <v>0</v>
      </c>
      <c r="I80" s="782">
        <v>0</v>
      </c>
      <c r="J80" s="782">
        <v>0</v>
      </c>
      <c r="K80" s="782">
        <v>0</v>
      </c>
      <c r="L80" s="783">
        <v>0</v>
      </c>
      <c r="M80" s="231">
        <f t="shared" si="7"/>
        <v>0</v>
      </c>
      <c r="N80" s="1237"/>
    </row>
    <row r="81" spans="2:14" x14ac:dyDescent="0.25">
      <c r="B81" s="1238"/>
      <c r="C81" s="1255" t="str">
        <f t="shared" si="6"/>
        <v>Deferred Fee</v>
      </c>
      <c r="D81" s="1255"/>
      <c r="E81" s="781">
        <v>0</v>
      </c>
      <c r="F81" s="782">
        <v>0</v>
      </c>
      <c r="G81" s="782">
        <v>0</v>
      </c>
      <c r="H81" s="782">
        <v>0</v>
      </c>
      <c r="I81" s="782">
        <v>0</v>
      </c>
      <c r="J81" s="782">
        <v>0</v>
      </c>
      <c r="K81" s="782">
        <v>0</v>
      </c>
      <c r="L81" s="783">
        <v>0</v>
      </c>
      <c r="M81" s="231">
        <f t="shared" si="7"/>
        <v>0</v>
      </c>
      <c r="N81" s="1237"/>
    </row>
    <row r="82" spans="2:14" x14ac:dyDescent="0.25">
      <c r="B82" s="1238"/>
      <c r="C82" s="1255" t="str">
        <f t="shared" si="6"/>
        <v xml:space="preserve">Energy Efficiency Incentives </v>
      </c>
      <c r="D82" s="1255"/>
      <c r="E82" s="781">
        <v>0</v>
      </c>
      <c r="F82" s="782">
        <v>0</v>
      </c>
      <c r="G82" s="782">
        <v>0</v>
      </c>
      <c r="H82" s="782">
        <v>0</v>
      </c>
      <c r="I82" s="782">
        <v>0</v>
      </c>
      <c r="J82" s="782">
        <v>0</v>
      </c>
      <c r="K82" s="782">
        <v>0</v>
      </c>
      <c r="L82" s="783">
        <v>0</v>
      </c>
      <c r="M82" s="231">
        <f t="shared" si="7"/>
        <v>0</v>
      </c>
      <c r="N82" s="1237"/>
    </row>
    <row r="83" spans="2:14" x14ac:dyDescent="0.25">
      <c r="B83" s="1238"/>
      <c r="C83" s="1255" t="str">
        <f t="shared" si="6"/>
        <v>Enter on 7A</v>
      </c>
      <c r="D83" s="1255"/>
      <c r="E83" s="781">
        <v>0</v>
      </c>
      <c r="F83" s="782">
        <v>0</v>
      </c>
      <c r="G83" s="782">
        <v>0</v>
      </c>
      <c r="H83" s="782">
        <v>0</v>
      </c>
      <c r="I83" s="782">
        <v>0</v>
      </c>
      <c r="J83" s="782">
        <v>0</v>
      </c>
      <c r="K83" s="782">
        <v>0</v>
      </c>
      <c r="L83" s="783">
        <v>0</v>
      </c>
      <c r="M83" s="231">
        <f t="shared" si="7"/>
        <v>0</v>
      </c>
      <c r="N83" s="1237"/>
    </row>
    <row r="84" spans="2:14" x14ac:dyDescent="0.25">
      <c r="B84" s="1238"/>
      <c r="C84" s="1255" t="str">
        <f t="shared" si="6"/>
        <v>Enter on 7A</v>
      </c>
      <c r="D84" s="1255"/>
      <c r="E84" s="781">
        <v>0</v>
      </c>
      <c r="F84" s="782">
        <v>0</v>
      </c>
      <c r="G84" s="782">
        <v>0</v>
      </c>
      <c r="H84" s="782">
        <v>0</v>
      </c>
      <c r="I84" s="782">
        <v>0</v>
      </c>
      <c r="J84" s="782">
        <v>0</v>
      </c>
      <c r="K84" s="782">
        <v>0</v>
      </c>
      <c r="L84" s="783">
        <v>0</v>
      </c>
      <c r="M84" s="231">
        <f t="shared" si="7"/>
        <v>0</v>
      </c>
      <c r="N84" s="1237"/>
    </row>
    <row r="85" spans="2:14" x14ac:dyDescent="0.25">
      <c r="B85" s="1238"/>
      <c r="C85" s="1256" t="str">
        <f t="shared" si="6"/>
        <v>LIHTC Equity</v>
      </c>
      <c r="D85" s="1256"/>
      <c r="E85" s="781">
        <v>0</v>
      </c>
      <c r="F85" s="782">
        <v>0</v>
      </c>
      <c r="G85" s="782">
        <v>0</v>
      </c>
      <c r="H85" s="782">
        <v>0</v>
      </c>
      <c r="I85" s="782">
        <v>0</v>
      </c>
      <c r="J85" s="782">
        <v>0</v>
      </c>
      <c r="K85" s="782">
        <v>0</v>
      </c>
      <c r="L85" s="783">
        <v>0</v>
      </c>
      <c r="M85" s="231">
        <f t="shared" si="7"/>
        <v>2501836</v>
      </c>
      <c r="N85" s="1237"/>
    </row>
    <row r="86" spans="2:14" x14ac:dyDescent="0.25">
      <c r="B86" s="1238"/>
      <c r="C86" s="1255" t="str">
        <f t="shared" si="6"/>
        <v>Enter on 7A</v>
      </c>
      <c r="D86" s="1255"/>
      <c r="E86" s="781">
        <v>0</v>
      </c>
      <c r="F86" s="782">
        <v>0</v>
      </c>
      <c r="G86" s="782">
        <v>0</v>
      </c>
      <c r="H86" s="782">
        <v>0</v>
      </c>
      <c r="I86" s="782">
        <v>0</v>
      </c>
      <c r="J86" s="782">
        <v>0</v>
      </c>
      <c r="K86" s="782">
        <v>0</v>
      </c>
      <c r="L86" s="783">
        <v>0</v>
      </c>
      <c r="M86" s="231">
        <f t="shared" si="7"/>
        <v>0</v>
      </c>
      <c r="N86" s="1237"/>
    </row>
    <row r="87" spans="2:14" ht="15.75" thickBot="1" x14ac:dyDescent="0.3">
      <c r="B87" s="1238"/>
      <c r="C87" s="1255" t="str">
        <f t="shared" si="6"/>
        <v>Enter on 7A</v>
      </c>
      <c r="D87" s="1255"/>
      <c r="E87" s="784">
        <v>0</v>
      </c>
      <c r="F87" s="785">
        <v>0</v>
      </c>
      <c r="G87" s="785">
        <v>0</v>
      </c>
      <c r="H87" s="785">
        <v>0</v>
      </c>
      <c r="I87" s="785">
        <v>0</v>
      </c>
      <c r="J87" s="785">
        <v>0</v>
      </c>
      <c r="K87" s="785">
        <v>0</v>
      </c>
      <c r="L87" s="786">
        <v>0</v>
      </c>
      <c r="M87" s="232">
        <f t="shared" si="7"/>
        <v>0</v>
      </c>
      <c r="N87" s="1237"/>
    </row>
    <row r="88" spans="2:14" ht="15.75" thickBot="1" x14ac:dyDescent="0.3">
      <c r="B88" s="1238"/>
      <c r="C88" s="1258"/>
      <c r="D88" s="215" t="s">
        <v>342</v>
      </c>
      <c r="E88" s="233">
        <f>SUM(E79:E87)</f>
        <v>0</v>
      </c>
      <c r="F88" s="234">
        <f t="shared" ref="F88:L88" si="8">SUM(F79:F87)</f>
        <v>0</v>
      </c>
      <c r="G88" s="234">
        <f t="shared" si="8"/>
        <v>0</v>
      </c>
      <c r="H88" s="234">
        <f t="shared" si="8"/>
        <v>0</v>
      </c>
      <c r="I88" s="234">
        <f t="shared" si="8"/>
        <v>0</v>
      </c>
      <c r="J88" s="234">
        <f t="shared" si="8"/>
        <v>0</v>
      </c>
      <c r="K88" s="234">
        <f t="shared" si="8"/>
        <v>0</v>
      </c>
      <c r="L88" s="235">
        <f t="shared" si="8"/>
        <v>0</v>
      </c>
      <c r="M88" s="219">
        <f>SUM(M79:M87)</f>
        <v>7739836</v>
      </c>
      <c r="N88" s="1237"/>
    </row>
    <row r="89" spans="2:14" ht="3.75" customHeight="1" thickBot="1" x14ac:dyDescent="0.3">
      <c r="B89" s="1238"/>
      <c r="C89" s="216"/>
      <c r="D89" s="216"/>
      <c r="E89" s="220"/>
      <c r="F89" s="220"/>
      <c r="G89" s="220"/>
      <c r="H89" s="220"/>
      <c r="I89" s="220"/>
      <c r="J89" s="220"/>
      <c r="K89" s="220"/>
      <c r="L89" s="220"/>
      <c r="M89" s="221"/>
      <c r="N89" s="1237"/>
    </row>
    <row r="90" spans="2:14" ht="15.75" thickBot="1" x14ac:dyDescent="0.3">
      <c r="B90" s="1238"/>
      <c r="C90" s="213" t="s">
        <v>343</v>
      </c>
      <c r="D90" s="213"/>
      <c r="E90" s="233">
        <f>E76+E88</f>
        <v>0</v>
      </c>
      <c r="F90" s="234">
        <f t="shared" ref="F90:L90" si="9">F76+F88</f>
        <v>0</v>
      </c>
      <c r="G90" s="234">
        <f t="shared" si="9"/>
        <v>0</v>
      </c>
      <c r="H90" s="234">
        <f t="shared" si="9"/>
        <v>0</v>
      </c>
      <c r="I90" s="234">
        <f t="shared" si="9"/>
        <v>0</v>
      </c>
      <c r="J90" s="234">
        <f t="shared" si="9"/>
        <v>0</v>
      </c>
      <c r="K90" s="234">
        <f t="shared" si="9"/>
        <v>0</v>
      </c>
      <c r="L90" s="235">
        <f t="shared" si="9"/>
        <v>0</v>
      </c>
      <c r="M90" s="222">
        <f>M76+M88</f>
        <v>20909040</v>
      </c>
      <c r="N90" s="1237"/>
    </row>
    <row r="91" spans="2:14" x14ac:dyDescent="0.25">
      <c r="B91" s="1238"/>
      <c r="C91" s="212"/>
      <c r="D91" s="212"/>
      <c r="E91" s="212"/>
      <c r="F91" s="212"/>
      <c r="G91" s="212"/>
      <c r="H91" s="212"/>
      <c r="I91" s="212"/>
      <c r="J91" s="1249"/>
      <c r="K91" s="212"/>
      <c r="L91" s="212"/>
      <c r="M91" s="223" t="s">
        <v>352</v>
      </c>
      <c r="N91" s="1237"/>
    </row>
    <row r="92" spans="2:14" ht="15.75" thickBot="1" x14ac:dyDescent="0.3">
      <c r="B92" s="1238"/>
      <c r="C92" s="211" t="s">
        <v>344</v>
      </c>
      <c r="D92" s="211"/>
      <c r="E92" s="399"/>
      <c r="F92" s="1272"/>
      <c r="G92" s="1272"/>
      <c r="H92" s="1272"/>
      <c r="I92" s="1272"/>
      <c r="J92" s="1272"/>
      <c r="K92" s="1249"/>
      <c r="L92" s="212"/>
      <c r="M92" s="212"/>
      <c r="N92" s="1237"/>
    </row>
    <row r="93" spans="2:14" x14ac:dyDescent="0.25">
      <c r="B93" s="1238"/>
      <c r="C93" s="227" t="s">
        <v>23</v>
      </c>
      <c r="D93" s="352"/>
      <c r="E93" s="778">
        <v>0</v>
      </c>
      <c r="F93" s="779">
        <v>0</v>
      </c>
      <c r="G93" s="779">
        <v>0</v>
      </c>
      <c r="H93" s="779">
        <v>0</v>
      </c>
      <c r="I93" s="779">
        <v>0</v>
      </c>
      <c r="J93" s="779">
        <v>0</v>
      </c>
      <c r="K93" s="779">
        <v>0</v>
      </c>
      <c r="L93" s="780">
        <v>0</v>
      </c>
      <c r="M93" s="230">
        <f t="shared" ref="M93:M100" si="10">SUM(E41:L41)+SUM(E93:L93)</f>
        <v>2534110</v>
      </c>
      <c r="N93" s="1237"/>
    </row>
    <row r="94" spans="2:14" x14ac:dyDescent="0.25">
      <c r="B94" s="1238"/>
      <c r="C94" s="228" t="s">
        <v>345</v>
      </c>
      <c r="D94" s="228"/>
      <c r="E94" s="781">
        <v>0</v>
      </c>
      <c r="F94" s="782">
        <v>0</v>
      </c>
      <c r="G94" s="782">
        <v>0</v>
      </c>
      <c r="H94" s="782">
        <v>0</v>
      </c>
      <c r="I94" s="782">
        <v>0</v>
      </c>
      <c r="J94" s="782">
        <v>0</v>
      </c>
      <c r="K94" s="782">
        <v>0</v>
      </c>
      <c r="L94" s="783">
        <v>0</v>
      </c>
      <c r="M94" s="231">
        <f t="shared" si="10"/>
        <v>14815248</v>
      </c>
      <c r="N94" s="1237"/>
    </row>
    <row r="95" spans="2:14" x14ac:dyDescent="0.25">
      <c r="B95" s="1238"/>
      <c r="C95" s="228" t="s">
        <v>346</v>
      </c>
      <c r="D95" s="228"/>
      <c r="E95" s="781">
        <v>0</v>
      </c>
      <c r="F95" s="782">
        <v>0</v>
      </c>
      <c r="G95" s="782">
        <v>0</v>
      </c>
      <c r="H95" s="782">
        <v>0</v>
      </c>
      <c r="I95" s="782">
        <v>0</v>
      </c>
      <c r="J95" s="782">
        <v>0</v>
      </c>
      <c r="K95" s="782">
        <v>0</v>
      </c>
      <c r="L95" s="783">
        <v>0</v>
      </c>
      <c r="M95" s="231">
        <f t="shared" si="10"/>
        <v>59001</v>
      </c>
      <c r="N95" s="1237"/>
    </row>
    <row r="96" spans="2:14" x14ac:dyDescent="0.25">
      <c r="B96" s="1238"/>
      <c r="C96" s="229" t="s">
        <v>207</v>
      </c>
      <c r="D96" s="229"/>
      <c r="E96" s="781">
        <v>0</v>
      </c>
      <c r="F96" s="782">
        <v>0</v>
      </c>
      <c r="G96" s="782">
        <v>0</v>
      </c>
      <c r="H96" s="782">
        <v>0</v>
      </c>
      <c r="I96" s="782">
        <v>0</v>
      </c>
      <c r="J96" s="782">
        <v>0</v>
      </c>
      <c r="K96" s="782">
        <v>0</v>
      </c>
      <c r="L96" s="783">
        <v>0</v>
      </c>
      <c r="M96" s="231">
        <f t="shared" si="10"/>
        <v>759898</v>
      </c>
      <c r="N96" s="1237"/>
    </row>
    <row r="97" spans="2:14" x14ac:dyDescent="0.25">
      <c r="B97" s="1238"/>
      <c r="C97" s="229" t="s">
        <v>213</v>
      </c>
      <c r="D97" s="229"/>
      <c r="E97" s="781">
        <v>0</v>
      </c>
      <c r="F97" s="782">
        <v>0</v>
      </c>
      <c r="G97" s="782">
        <v>0</v>
      </c>
      <c r="H97" s="782">
        <v>0</v>
      </c>
      <c r="I97" s="782">
        <v>0</v>
      </c>
      <c r="J97" s="782">
        <v>0</v>
      </c>
      <c r="K97" s="782">
        <v>0</v>
      </c>
      <c r="L97" s="783">
        <v>0</v>
      </c>
      <c r="M97" s="231">
        <f t="shared" si="10"/>
        <v>88000</v>
      </c>
      <c r="N97" s="1237"/>
    </row>
    <row r="98" spans="2:14" x14ac:dyDescent="0.25">
      <c r="B98" s="1238"/>
      <c r="C98" s="229" t="s">
        <v>221</v>
      </c>
      <c r="D98" s="229"/>
      <c r="E98" s="781">
        <v>0</v>
      </c>
      <c r="F98" s="782">
        <v>0</v>
      </c>
      <c r="G98" s="782">
        <v>0</v>
      </c>
      <c r="H98" s="782">
        <v>0</v>
      </c>
      <c r="I98" s="782">
        <v>0</v>
      </c>
      <c r="J98" s="782">
        <v>0</v>
      </c>
      <c r="K98" s="782">
        <v>0</v>
      </c>
      <c r="L98" s="783">
        <v>0</v>
      </c>
      <c r="M98" s="231">
        <f t="shared" si="10"/>
        <v>0</v>
      </c>
      <c r="N98" s="1237"/>
    </row>
    <row r="99" spans="2:14" x14ac:dyDescent="0.25">
      <c r="B99" s="1238"/>
      <c r="C99" s="229" t="s">
        <v>224</v>
      </c>
      <c r="D99" s="229"/>
      <c r="E99" s="781">
        <v>0</v>
      </c>
      <c r="F99" s="782">
        <v>0</v>
      </c>
      <c r="G99" s="782">
        <v>0</v>
      </c>
      <c r="H99" s="782">
        <v>0</v>
      </c>
      <c r="I99" s="782">
        <v>0</v>
      </c>
      <c r="J99" s="782">
        <v>0</v>
      </c>
      <c r="K99" s="782">
        <v>0</v>
      </c>
      <c r="L99" s="783">
        <v>0</v>
      </c>
      <c r="M99" s="231">
        <f t="shared" si="10"/>
        <v>2512783</v>
      </c>
      <c r="N99" s="1237"/>
    </row>
    <row r="100" spans="2:14" ht="15.75" thickBot="1" x14ac:dyDescent="0.3">
      <c r="B100" s="1238"/>
      <c r="C100" s="229" t="s">
        <v>347</v>
      </c>
      <c r="D100" s="229"/>
      <c r="E100" s="784">
        <v>0</v>
      </c>
      <c r="F100" s="785">
        <v>0</v>
      </c>
      <c r="G100" s="785">
        <v>0</v>
      </c>
      <c r="H100" s="785">
        <v>0</v>
      </c>
      <c r="I100" s="785">
        <v>0</v>
      </c>
      <c r="J100" s="785">
        <v>0</v>
      </c>
      <c r="K100" s="785">
        <v>0</v>
      </c>
      <c r="L100" s="786">
        <v>0</v>
      </c>
      <c r="M100" s="232">
        <f t="shared" si="10"/>
        <v>140000</v>
      </c>
      <c r="N100" s="1237"/>
    </row>
    <row r="101" spans="2:14" ht="3.75" customHeight="1" thickBot="1" x14ac:dyDescent="0.3">
      <c r="B101" s="1238"/>
      <c r="C101" s="223"/>
      <c r="D101" s="223"/>
      <c r="E101" s="220"/>
      <c r="F101" s="220"/>
      <c r="G101" s="220"/>
      <c r="H101" s="220"/>
      <c r="I101" s="220"/>
      <c r="J101" s="220"/>
      <c r="K101" s="220"/>
      <c r="L101" s="220"/>
      <c r="M101" s="221"/>
      <c r="N101" s="1237"/>
    </row>
    <row r="102" spans="2:14" ht="15.75" thickBot="1" x14ac:dyDescent="0.3">
      <c r="B102" s="1238"/>
      <c r="C102" s="224" t="s">
        <v>348</v>
      </c>
      <c r="D102" s="224"/>
      <c r="E102" s="233">
        <f>SUM(E93:E100)</f>
        <v>0</v>
      </c>
      <c r="F102" s="234">
        <f t="shared" ref="F102:L102" si="11">SUM(F93:F100)</f>
        <v>0</v>
      </c>
      <c r="G102" s="234">
        <f t="shared" si="11"/>
        <v>0</v>
      </c>
      <c r="H102" s="234">
        <f t="shared" si="11"/>
        <v>0</v>
      </c>
      <c r="I102" s="234">
        <f t="shared" si="11"/>
        <v>0</v>
      </c>
      <c r="J102" s="234">
        <f t="shared" si="11"/>
        <v>0</v>
      </c>
      <c r="K102" s="234">
        <f t="shared" si="11"/>
        <v>0</v>
      </c>
      <c r="L102" s="235">
        <f t="shared" si="11"/>
        <v>0</v>
      </c>
      <c r="M102" s="225">
        <f>SUM(M93:M100)</f>
        <v>20909040</v>
      </c>
      <c r="N102" s="1237"/>
    </row>
    <row r="103" spans="2:14" ht="3.75" customHeight="1" thickBot="1" x14ac:dyDescent="0.3">
      <c r="B103" s="1238"/>
      <c r="C103" s="212"/>
      <c r="D103" s="212"/>
      <c r="E103" s="220"/>
      <c r="F103" s="220"/>
      <c r="G103" s="220"/>
      <c r="H103" s="220"/>
      <c r="I103" s="220"/>
      <c r="J103" s="1266"/>
      <c r="K103" s="212"/>
      <c r="L103" s="212"/>
      <c r="M103" s="223"/>
      <c r="N103" s="1237"/>
    </row>
    <row r="104" spans="2:14" ht="15.75" thickBot="1" x14ac:dyDescent="0.3">
      <c r="B104" s="1238"/>
      <c r="C104" s="217" t="s">
        <v>349</v>
      </c>
      <c r="D104" s="217"/>
      <c r="E104" s="233">
        <f>E90-E102</f>
        <v>0</v>
      </c>
      <c r="F104" s="234">
        <f t="shared" ref="F104:L104" si="12">F90-F102</f>
        <v>0</v>
      </c>
      <c r="G104" s="234">
        <f t="shared" si="12"/>
        <v>0</v>
      </c>
      <c r="H104" s="234">
        <f t="shared" si="12"/>
        <v>0</v>
      </c>
      <c r="I104" s="234">
        <f t="shared" si="12"/>
        <v>0</v>
      </c>
      <c r="J104" s="234">
        <f t="shared" si="12"/>
        <v>0</v>
      </c>
      <c r="K104" s="234">
        <f t="shared" si="12"/>
        <v>0</v>
      </c>
      <c r="L104" s="235">
        <f t="shared" si="12"/>
        <v>0</v>
      </c>
      <c r="M104" s="219">
        <f>M90-M102</f>
        <v>0</v>
      </c>
      <c r="N104" s="1237"/>
    </row>
    <row r="105" spans="2:14" ht="7.5" customHeight="1" x14ac:dyDescent="0.25">
      <c r="B105" s="1238"/>
      <c r="C105" s="212"/>
      <c r="D105" s="212"/>
      <c r="E105" s="212"/>
      <c r="F105" s="220"/>
      <c r="G105" s="220"/>
      <c r="H105" s="220"/>
      <c r="I105" s="220"/>
      <c r="J105" s="220"/>
      <c r="K105" s="220"/>
      <c r="L105" s="220"/>
      <c r="M105" s="220"/>
      <c r="N105" s="1237"/>
    </row>
    <row r="106" spans="2:14" x14ac:dyDescent="0.25">
      <c r="B106" s="1238"/>
      <c r="C106" s="218" t="s">
        <v>350</v>
      </c>
      <c r="D106" s="212"/>
      <c r="E106" s="814"/>
      <c r="F106" s="220"/>
      <c r="G106" s="220"/>
      <c r="H106" s="220"/>
      <c r="I106" s="220"/>
      <c r="J106" s="220"/>
      <c r="K106" s="220"/>
      <c r="L106" s="220"/>
      <c r="M106" s="220"/>
      <c r="N106" s="1237"/>
    </row>
    <row r="107" spans="2:14" ht="15" customHeight="1" x14ac:dyDescent="0.25">
      <c r="B107" s="1238"/>
      <c r="C107" s="2388"/>
      <c r="D107" s="2389"/>
      <c r="E107" s="2389"/>
      <c r="F107" s="2389"/>
      <c r="G107" s="2389"/>
      <c r="H107" s="2389"/>
      <c r="I107" s="2389"/>
      <c r="J107" s="2389"/>
      <c r="K107" s="2389"/>
      <c r="L107" s="2390"/>
      <c r="M107" s="810"/>
      <c r="N107" s="1237"/>
    </row>
    <row r="108" spans="2:14" ht="15" customHeight="1" x14ac:dyDescent="0.25">
      <c r="B108" s="1238"/>
      <c r="C108" s="2391"/>
      <c r="D108" s="2392"/>
      <c r="E108" s="2392"/>
      <c r="F108" s="2392"/>
      <c r="G108" s="2392"/>
      <c r="H108" s="2392"/>
      <c r="I108" s="2392"/>
      <c r="J108" s="2392"/>
      <c r="K108" s="2392"/>
      <c r="L108" s="2393"/>
      <c r="M108" s="810"/>
      <c r="N108" s="1237"/>
    </row>
    <row r="109" spans="2:14" x14ac:dyDescent="0.25">
      <c r="B109" s="1238"/>
      <c r="C109" s="2391"/>
      <c r="D109" s="2392"/>
      <c r="E109" s="2392"/>
      <c r="F109" s="2392"/>
      <c r="G109" s="2392"/>
      <c r="H109" s="2392"/>
      <c r="I109" s="2392"/>
      <c r="J109" s="2392"/>
      <c r="K109" s="2392"/>
      <c r="L109" s="2393"/>
      <c r="M109" s="810"/>
      <c r="N109" s="1237"/>
    </row>
    <row r="110" spans="2:14" ht="15" customHeight="1" x14ac:dyDescent="0.25">
      <c r="B110" s="1238"/>
      <c r="C110" s="2394"/>
      <c r="D110" s="2395"/>
      <c r="E110" s="2395"/>
      <c r="F110" s="2395"/>
      <c r="G110" s="2395"/>
      <c r="H110" s="2395"/>
      <c r="I110" s="2395"/>
      <c r="J110" s="2395"/>
      <c r="K110" s="2395"/>
      <c r="L110" s="2396"/>
      <c r="M110" s="810"/>
      <c r="N110" s="1237"/>
    </row>
    <row r="111" spans="2:14" ht="9" customHeight="1" thickBot="1" x14ac:dyDescent="0.3">
      <c r="B111" s="1267"/>
      <c r="C111" s="916"/>
      <c r="D111" s="916"/>
      <c r="E111" s="1273"/>
      <c r="F111" s="1273"/>
      <c r="G111" s="1273"/>
      <c r="H111" s="1273"/>
      <c r="I111" s="1273"/>
      <c r="J111" s="1273"/>
      <c r="K111" s="1273"/>
      <c r="L111" s="1273"/>
      <c r="M111" s="1273"/>
      <c r="N111" s="1269"/>
    </row>
  </sheetData>
  <sheetProtection password="9F6B" sheet="1" objects="1" scenarios="1" formatCells="0" formatColumns="0" formatRows="0" insertRows="0"/>
  <mergeCells count="3">
    <mergeCell ref="C55:L58"/>
    <mergeCell ref="C107:L110"/>
    <mergeCell ref="C63:M63"/>
  </mergeCells>
  <pageMargins left="0.7" right="0.7" top="0.75" bottom="0.75" header="0.3" footer="0.3"/>
  <pageSetup scale="66" fitToHeight="2" orientation="portrait" r:id="rId1"/>
  <headerFooter>
    <oddFooter>&amp;LForm 7B
Estimate of Cash Flow During Development&amp;CCFA Forms&amp;REdition: 2015
Version: 1.1</oddFooter>
  </headerFooter>
  <rowBreaks count="1" manualBreakCount="1">
    <brk id="60" min="1" max="1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9:P111"/>
  <sheetViews>
    <sheetView showGridLines="0" zoomScaleNormal="100" workbookViewId="0">
      <selection activeCell="D67" sqref="D67"/>
    </sheetView>
  </sheetViews>
  <sheetFormatPr defaultRowHeight="15" x14ac:dyDescent="0.25"/>
  <cols>
    <col min="1" max="2" width="1.7109375" style="838" customWidth="1"/>
    <col min="3" max="3" width="14.28515625" style="838" customWidth="1"/>
    <col min="4" max="4" width="12.85546875" style="838" customWidth="1"/>
    <col min="5" max="13" width="11.42578125" style="838" customWidth="1"/>
    <col min="14" max="14" width="1.7109375" style="838" customWidth="1"/>
    <col min="15" max="15" width="9.140625" style="838"/>
    <col min="16" max="16" width="9.7109375" style="838" bestFit="1" customWidth="1"/>
    <col min="17" max="16384" width="9.140625" style="838"/>
  </cols>
  <sheetData>
    <row r="9" spans="2:14" ht="9" customHeight="1" thickBot="1" x14ac:dyDescent="0.3"/>
    <row r="10" spans="2:14" ht="9" customHeight="1" x14ac:dyDescent="0.25">
      <c r="B10" s="1233"/>
      <c r="C10" s="1234"/>
      <c r="D10" s="1234"/>
      <c r="E10" s="1234"/>
      <c r="F10" s="1234"/>
      <c r="G10" s="1234"/>
      <c r="H10" s="1234"/>
      <c r="I10" s="1234"/>
      <c r="J10" s="1234"/>
      <c r="K10" s="1234"/>
      <c r="L10" s="1234"/>
      <c r="M10" s="1234"/>
      <c r="N10" s="1235"/>
    </row>
    <row r="11" spans="2:14" ht="18.75" x14ac:dyDescent="0.3">
      <c r="B11" s="1236"/>
      <c r="C11" s="2387" t="s">
        <v>1600</v>
      </c>
      <c r="D11" s="2387"/>
      <c r="E11" s="2387"/>
      <c r="F11" s="2387"/>
      <c r="G11" s="2387"/>
      <c r="H11" s="2387"/>
      <c r="I11" s="2387"/>
      <c r="J11" s="2387"/>
      <c r="K11" s="2387"/>
      <c r="L11" s="2387"/>
      <c r="M11" s="2387"/>
      <c r="N11" s="1237"/>
    </row>
    <row r="12" spans="2:14" ht="15" customHeight="1" x14ac:dyDescent="0.25">
      <c r="B12" s="1236"/>
      <c r="C12" s="898"/>
      <c r="D12" s="898"/>
      <c r="E12" s="898"/>
      <c r="F12" s="898"/>
      <c r="G12" s="898"/>
      <c r="H12" s="898"/>
      <c r="I12" s="898"/>
      <c r="J12" s="898"/>
      <c r="K12" s="898"/>
      <c r="L12" s="898"/>
      <c r="M12" s="898"/>
      <c r="N12" s="1237"/>
    </row>
    <row r="13" spans="2:14" x14ac:dyDescent="0.25">
      <c r="B13" s="1238"/>
      <c r="C13" s="1239" t="s">
        <v>334</v>
      </c>
      <c r="D13" s="1240" t="str">
        <f>IF('1A'!G5="","Enter Project Name on Form 1A",'1A'!G5)</f>
        <v>University District Apartments</v>
      </c>
      <c r="E13" s="1240"/>
      <c r="F13" s="1240"/>
      <c r="G13" s="1240"/>
      <c r="H13" s="1240"/>
      <c r="I13" s="1240"/>
      <c r="J13" s="1241"/>
      <c r="K13" s="212"/>
      <c r="L13" s="810"/>
      <c r="M13" s="810"/>
      <c r="N13" s="1237"/>
    </row>
    <row r="14" spans="2:14" ht="7.5" customHeight="1" x14ac:dyDescent="0.25">
      <c r="B14" s="1238"/>
      <c r="C14" s="1242"/>
      <c r="D14" s="1242"/>
      <c r="E14" s="1243"/>
      <c r="F14" s="1243"/>
      <c r="G14" s="1243"/>
      <c r="H14" s="212"/>
      <c r="I14" s="212"/>
      <c r="J14" s="212"/>
      <c r="K14" s="212"/>
      <c r="L14" s="217"/>
      <c r="M14" s="212"/>
      <c r="N14" s="1237"/>
    </row>
    <row r="15" spans="2:14" x14ac:dyDescent="0.25">
      <c r="B15" s="1238"/>
      <c r="C15" s="217" t="s">
        <v>335</v>
      </c>
      <c r="D15" s="2077">
        <v>42262</v>
      </c>
      <c r="E15" s="1243"/>
      <c r="F15" s="1243"/>
      <c r="G15" s="1243"/>
      <c r="H15" s="212"/>
      <c r="I15" s="212"/>
      <c r="J15" s="212"/>
      <c r="K15" s="212"/>
      <c r="L15" s="217"/>
      <c r="M15" s="212"/>
      <c r="N15" s="1237"/>
    </row>
    <row r="16" spans="2:14" ht="15" customHeight="1" x14ac:dyDescent="0.25">
      <c r="B16" s="1238"/>
      <c r="C16" s="810"/>
      <c r="D16" s="810"/>
      <c r="E16" s="1242"/>
      <c r="F16" s="1244"/>
      <c r="G16" s="1245"/>
      <c r="H16" s="1246"/>
      <c r="I16" s="1242"/>
      <c r="J16" s="1242"/>
      <c r="K16" s="1242"/>
      <c r="L16" s="832"/>
      <c r="M16" s="832"/>
      <c r="N16" s="1237"/>
    </row>
    <row r="17" spans="2:16" ht="15.75" thickBot="1" x14ac:dyDescent="0.3">
      <c r="B17" s="1238"/>
      <c r="C17" s="211" t="s">
        <v>336</v>
      </c>
      <c r="D17" s="211"/>
      <c r="E17" s="1247"/>
      <c r="F17" s="1248"/>
      <c r="G17" s="212"/>
      <c r="H17" s="212"/>
      <c r="I17" s="212"/>
      <c r="J17" s="212"/>
      <c r="K17" s="1249"/>
      <c r="L17" s="212"/>
      <c r="M17" s="212"/>
      <c r="N17" s="1237"/>
    </row>
    <row r="18" spans="2:16" x14ac:dyDescent="0.25">
      <c r="B18" s="1238"/>
      <c r="C18" s="212"/>
      <c r="D18" s="212"/>
      <c r="E18" s="236" t="s">
        <v>337</v>
      </c>
      <c r="F18" s="237" t="s">
        <v>338</v>
      </c>
      <c r="G18" s="238" t="s">
        <v>339</v>
      </c>
      <c r="H18" s="237" t="s">
        <v>340</v>
      </c>
      <c r="I18" s="238" t="s">
        <v>337</v>
      </c>
      <c r="J18" s="237" t="s">
        <v>338</v>
      </c>
      <c r="K18" s="238" t="s">
        <v>339</v>
      </c>
      <c r="L18" s="239" t="s">
        <v>340</v>
      </c>
      <c r="M18" s="810"/>
      <c r="N18" s="1237"/>
    </row>
    <row r="19" spans="2:16" ht="15.75" thickBot="1" x14ac:dyDescent="0.3">
      <c r="B19" s="1238"/>
      <c r="C19" s="213" t="s">
        <v>312</v>
      </c>
      <c r="D19" s="213"/>
      <c r="E19" s="1651">
        <v>42644</v>
      </c>
      <c r="F19" s="1652">
        <v>42736</v>
      </c>
      <c r="G19" s="1652">
        <v>42826</v>
      </c>
      <c r="H19" s="1652">
        <v>42917</v>
      </c>
      <c r="I19" s="1652">
        <v>43009</v>
      </c>
      <c r="J19" s="1652">
        <v>43101</v>
      </c>
      <c r="K19" s="1652">
        <v>43191</v>
      </c>
      <c r="L19" s="1653">
        <v>43282</v>
      </c>
      <c r="M19" s="810"/>
      <c r="N19" s="1237"/>
      <c r="P19" s="1232"/>
    </row>
    <row r="20" spans="2:16" x14ac:dyDescent="0.25">
      <c r="B20" s="1238"/>
      <c r="C20" s="1250" t="s">
        <v>341</v>
      </c>
      <c r="D20" s="1250"/>
      <c r="E20" s="710">
        <v>0</v>
      </c>
      <c r="F20" s="711">
        <v>0</v>
      </c>
      <c r="G20" s="711">
        <v>0</v>
      </c>
      <c r="H20" s="711">
        <v>0</v>
      </c>
      <c r="I20" s="711">
        <v>0</v>
      </c>
      <c r="J20" s="711">
        <v>0</v>
      </c>
      <c r="K20" s="711">
        <v>0</v>
      </c>
      <c r="L20" s="712">
        <v>0</v>
      </c>
      <c r="M20" s="810"/>
      <c r="N20" s="1237"/>
    </row>
    <row r="21" spans="2:16" x14ac:dyDescent="0.25">
      <c r="B21" s="1238"/>
      <c r="C21" s="1251" t="str">
        <f>IF('7A - 9%'!C15=0,"Enter on 7A",'7A - 9%'!C15)</f>
        <v>Construction Loan</v>
      </c>
      <c r="D21" s="1251"/>
      <c r="E21" s="713">
        <v>0</v>
      </c>
      <c r="F21" s="714">
        <v>1565445</v>
      </c>
      <c r="G21" s="714">
        <v>2502758</v>
      </c>
      <c r="H21" s="714">
        <v>2521576</v>
      </c>
      <c r="I21" s="714">
        <v>2540535</v>
      </c>
      <c r="J21" s="714">
        <v>-652784</v>
      </c>
      <c r="K21" s="714">
        <v>97101</v>
      </c>
      <c r="L21" s="715">
        <v>86738</v>
      </c>
      <c r="M21" s="810"/>
      <c r="N21" s="1237"/>
    </row>
    <row r="22" spans="2:16" x14ac:dyDescent="0.25">
      <c r="B22" s="1238"/>
      <c r="C22" s="1251" t="str">
        <f>IF('7A - 9%'!C16=0,"Enter on 7A",'7A - 9%'!C16)</f>
        <v>Enter on 7A</v>
      </c>
      <c r="D22" s="1251"/>
      <c r="E22" s="713">
        <v>0</v>
      </c>
      <c r="F22" s="714">
        <v>0</v>
      </c>
      <c r="G22" s="714">
        <v>0</v>
      </c>
      <c r="H22" s="714">
        <v>0</v>
      </c>
      <c r="I22" s="714">
        <v>0</v>
      </c>
      <c r="J22" s="714">
        <v>0</v>
      </c>
      <c r="K22" s="714">
        <v>0</v>
      </c>
      <c r="L22" s="715">
        <v>0</v>
      </c>
      <c r="M22" s="810"/>
      <c r="N22" s="1237"/>
    </row>
    <row r="23" spans="2:16" ht="15.75" thickBot="1" x14ac:dyDescent="0.3">
      <c r="B23" s="1238"/>
      <c r="C23" s="1251" t="str">
        <f>IF('7A - 9%'!C17=0,"Enter on 7A",'7A - 9%'!C17)</f>
        <v>Enter on 7A</v>
      </c>
      <c r="D23" s="1251"/>
      <c r="E23" s="716">
        <v>0</v>
      </c>
      <c r="F23" s="717">
        <v>0</v>
      </c>
      <c r="G23" s="717">
        <v>0</v>
      </c>
      <c r="H23" s="717">
        <v>0</v>
      </c>
      <c r="I23" s="717">
        <v>0</v>
      </c>
      <c r="J23" s="717">
        <v>0</v>
      </c>
      <c r="K23" s="717">
        <v>0</v>
      </c>
      <c r="L23" s="718">
        <v>0</v>
      </c>
      <c r="M23" s="810"/>
      <c r="N23" s="1237"/>
    </row>
    <row r="24" spans="2:16" ht="15.75" thickBot="1" x14ac:dyDescent="0.3">
      <c r="B24" s="1238"/>
      <c r="C24" s="1074"/>
      <c r="D24" s="226" t="s">
        <v>342</v>
      </c>
      <c r="E24" s="719">
        <f>SUM(E20:E23)</f>
        <v>0</v>
      </c>
      <c r="F24" s="720">
        <f t="shared" ref="F24:L24" si="0">SUM(F20:F23)</f>
        <v>1565445</v>
      </c>
      <c r="G24" s="720">
        <f t="shared" si="0"/>
        <v>2502758</v>
      </c>
      <c r="H24" s="720">
        <f t="shared" si="0"/>
        <v>2521576</v>
      </c>
      <c r="I24" s="720">
        <f t="shared" si="0"/>
        <v>2540535</v>
      </c>
      <c r="J24" s="720">
        <f t="shared" si="0"/>
        <v>-652784</v>
      </c>
      <c r="K24" s="720">
        <f t="shared" si="0"/>
        <v>97101</v>
      </c>
      <c r="L24" s="721">
        <f t="shared" si="0"/>
        <v>86738</v>
      </c>
      <c r="M24" s="810"/>
      <c r="N24" s="1237"/>
    </row>
    <row r="25" spans="2:16" ht="3.75" customHeight="1" x14ac:dyDescent="0.25">
      <c r="B25" s="1238"/>
      <c r="C25" s="214"/>
      <c r="D25" s="214"/>
      <c r="E25" s="399"/>
      <c r="F25" s="220"/>
      <c r="G25" s="220"/>
      <c r="H25" s="220"/>
      <c r="I25" s="220"/>
      <c r="J25" s="220"/>
      <c r="K25" s="220"/>
      <c r="L25" s="1252"/>
      <c r="M25" s="810"/>
      <c r="N25" s="1237"/>
    </row>
    <row r="26" spans="2:16" ht="15.75" thickBot="1" x14ac:dyDescent="0.3">
      <c r="B26" s="1238"/>
      <c r="C26" s="213" t="s">
        <v>213</v>
      </c>
      <c r="D26" s="213"/>
      <c r="E26" s="399"/>
      <c r="F26" s="220"/>
      <c r="G26" s="220"/>
      <c r="H26" s="220"/>
      <c r="I26" s="220"/>
      <c r="J26" s="220"/>
      <c r="K26" s="220"/>
      <c r="L26" s="1253"/>
      <c r="M26" s="810"/>
      <c r="N26" s="1237"/>
    </row>
    <row r="27" spans="2:16" x14ac:dyDescent="0.25">
      <c r="B27" s="1238"/>
      <c r="C27" s="1254" t="str">
        <f>IF('7A - 9%'!C24=0,"Enter on 7A",'7A - 9%'!C24)</f>
        <v>City Seattle</v>
      </c>
      <c r="D27" s="1254"/>
      <c r="E27" s="778">
        <v>0</v>
      </c>
      <c r="F27" s="779">
        <v>706500</v>
      </c>
      <c r="G27" s="779">
        <v>0</v>
      </c>
      <c r="H27" s="779">
        <v>0</v>
      </c>
      <c r="I27" s="779">
        <v>0</v>
      </c>
      <c r="J27" s="779">
        <v>0</v>
      </c>
      <c r="K27" s="779">
        <v>0</v>
      </c>
      <c r="L27" s="780">
        <v>0</v>
      </c>
      <c r="M27" s="810"/>
      <c r="N27" s="1237"/>
    </row>
    <row r="28" spans="2:16" x14ac:dyDescent="0.25">
      <c r="B28" s="1238"/>
      <c r="C28" s="1255" t="str">
        <f>IF('7A - 9%'!C25=0,"Enter on 7A",'7A - 9%'!C25)</f>
        <v>King County</v>
      </c>
      <c r="D28" s="1255"/>
      <c r="E28" s="781">
        <v>450000</v>
      </c>
      <c r="F28" s="782">
        <v>0</v>
      </c>
      <c r="G28" s="782">
        <v>0</v>
      </c>
      <c r="H28" s="782">
        <v>0</v>
      </c>
      <c r="I28" s="782">
        <v>0</v>
      </c>
      <c r="J28" s="782">
        <v>0</v>
      </c>
      <c r="K28" s="782">
        <v>0</v>
      </c>
      <c r="L28" s="783">
        <v>0</v>
      </c>
      <c r="M28" s="810"/>
      <c r="N28" s="1237"/>
    </row>
    <row r="29" spans="2:16" x14ac:dyDescent="0.25">
      <c r="B29" s="1238"/>
      <c r="C29" s="1255" t="str">
        <f>IF('7A - 9%'!C26=0,"Enter on 7A",'7A - 9%'!C26)</f>
        <v>Housing Trust Fund</v>
      </c>
      <c r="D29" s="1255"/>
      <c r="E29" s="781">
        <v>2035336</v>
      </c>
      <c r="F29" s="782">
        <v>214664</v>
      </c>
      <c r="G29" s="782">
        <v>0</v>
      </c>
      <c r="H29" s="782">
        <v>0</v>
      </c>
      <c r="I29" s="782">
        <v>0</v>
      </c>
      <c r="J29" s="782">
        <v>0</v>
      </c>
      <c r="K29" s="782">
        <v>0</v>
      </c>
      <c r="L29" s="783">
        <v>0</v>
      </c>
      <c r="M29" s="810"/>
      <c r="N29" s="1237"/>
    </row>
    <row r="30" spans="2:16" x14ac:dyDescent="0.25">
      <c r="B30" s="1238"/>
      <c r="C30" s="1255" t="str">
        <f>IF('7A - 9%'!C27=0,"Enter on 7A",'7A - 9%'!C27)</f>
        <v>Permanent Financing - Residential</v>
      </c>
      <c r="D30" s="1255"/>
      <c r="E30" s="781">
        <v>0</v>
      </c>
      <c r="F30" s="782">
        <v>0</v>
      </c>
      <c r="G30" s="782">
        <v>0</v>
      </c>
      <c r="H30" s="782">
        <v>0</v>
      </c>
      <c r="I30" s="782">
        <v>0</v>
      </c>
      <c r="J30" s="782">
        <v>0</v>
      </c>
      <c r="K30" s="782">
        <v>0</v>
      </c>
      <c r="L30" s="783">
        <v>0</v>
      </c>
      <c r="M30" s="810"/>
      <c r="N30" s="1237"/>
    </row>
    <row r="31" spans="2:16" x14ac:dyDescent="0.25">
      <c r="B31" s="1238"/>
      <c r="C31" s="1255" t="str">
        <f>IF('7A - 9%'!C28=0,"Enter on 7A",'7A - 9%'!C28)</f>
        <v>Deferred Fee</v>
      </c>
      <c r="D31" s="1255"/>
      <c r="E31" s="781">
        <v>0</v>
      </c>
      <c r="F31" s="782">
        <v>0</v>
      </c>
      <c r="G31" s="782">
        <v>0</v>
      </c>
      <c r="H31" s="782">
        <v>0</v>
      </c>
      <c r="I31" s="782">
        <v>0</v>
      </c>
      <c r="J31" s="782">
        <v>0</v>
      </c>
      <c r="K31" s="782">
        <v>0</v>
      </c>
      <c r="L31" s="783">
        <v>0</v>
      </c>
      <c r="M31" s="810"/>
      <c r="N31" s="1237"/>
    </row>
    <row r="32" spans="2:16" x14ac:dyDescent="0.25">
      <c r="B32" s="1238"/>
      <c r="C32" s="1255" t="str">
        <f>IF('7A - 9%'!C29=0,"Enter on 7A",'7A - 9%'!C29)</f>
        <v xml:space="preserve">Energy Efficiency Incentives </v>
      </c>
      <c r="D32" s="1255"/>
      <c r="E32" s="781">
        <v>0</v>
      </c>
      <c r="F32" s="782">
        <v>0</v>
      </c>
      <c r="G32" s="782">
        <v>0</v>
      </c>
      <c r="H32" s="782">
        <v>0</v>
      </c>
      <c r="I32" s="782">
        <v>0</v>
      </c>
      <c r="J32" s="782">
        <v>0</v>
      </c>
      <c r="K32" s="782">
        <v>0</v>
      </c>
      <c r="L32" s="783">
        <v>0</v>
      </c>
      <c r="M32" s="810"/>
      <c r="N32" s="1237"/>
    </row>
    <row r="33" spans="2:14" x14ac:dyDescent="0.25">
      <c r="B33" s="1238"/>
      <c r="C33" s="1256" t="str">
        <f>IF('7A - 9%'!F34&lt;&gt;0,"LIHTC Equity","LIHTC Equity - Calculate on 6E")</f>
        <v>LIHTC Equity</v>
      </c>
      <c r="D33" s="1256"/>
      <c r="E33" s="781">
        <v>1646850</v>
      </c>
      <c r="F33" s="782">
        <v>0</v>
      </c>
      <c r="G33" s="782">
        <v>0</v>
      </c>
      <c r="H33" s="782">
        <v>0</v>
      </c>
      <c r="I33" s="782">
        <v>0</v>
      </c>
      <c r="J33" s="782">
        <v>1646850</v>
      </c>
      <c r="K33" s="782">
        <v>0</v>
      </c>
      <c r="L33" s="783">
        <v>0</v>
      </c>
      <c r="M33" s="810"/>
      <c r="N33" s="1237"/>
    </row>
    <row r="34" spans="2:14" x14ac:dyDescent="0.25">
      <c r="B34" s="1238"/>
      <c r="C34" s="1255" t="str">
        <f>IF('7A - 9%'!C40=0,"Enter on 7A",'7A - 9%'!C40)</f>
        <v>Bellwether Loan</v>
      </c>
      <c r="D34" s="1255"/>
      <c r="E34" s="781">
        <v>0</v>
      </c>
      <c r="F34" s="782">
        <v>0</v>
      </c>
      <c r="G34" s="782">
        <v>0</v>
      </c>
      <c r="H34" s="782">
        <v>0</v>
      </c>
      <c r="I34" s="782">
        <v>0</v>
      </c>
      <c r="J34" s="782">
        <v>0</v>
      </c>
      <c r="K34" s="782">
        <v>0</v>
      </c>
      <c r="L34" s="783">
        <v>0</v>
      </c>
      <c r="M34" s="810"/>
      <c r="N34" s="1237"/>
    </row>
    <row r="35" spans="2:14" ht="15.75" thickBot="1" x14ac:dyDescent="0.3">
      <c r="B35" s="1238"/>
      <c r="C35" s="1255" t="str">
        <f>IF('7A - 9%'!C41=0,"Enter on 7A",'7A - 9%'!C41)</f>
        <v>Bank Perm Loan</v>
      </c>
      <c r="D35" s="1255"/>
      <c r="E35" s="784">
        <v>0</v>
      </c>
      <c r="F35" s="785">
        <v>0</v>
      </c>
      <c r="G35" s="785">
        <v>0</v>
      </c>
      <c r="H35" s="785">
        <v>0</v>
      </c>
      <c r="I35" s="785">
        <v>0</v>
      </c>
      <c r="J35" s="785">
        <v>0</v>
      </c>
      <c r="K35" s="785">
        <v>0</v>
      </c>
      <c r="L35" s="786">
        <v>0</v>
      </c>
      <c r="M35" s="810"/>
      <c r="N35" s="1237"/>
    </row>
    <row r="36" spans="2:14" ht="15.75" thickBot="1" x14ac:dyDescent="0.3">
      <c r="B36" s="1257"/>
      <c r="C36" s="1258"/>
      <c r="D36" s="215" t="s">
        <v>342</v>
      </c>
      <c r="E36" s="233">
        <f t="shared" ref="E36:L36" si="1">SUM(E27:E35)</f>
        <v>4132186</v>
      </c>
      <c r="F36" s="234">
        <f t="shared" si="1"/>
        <v>921164</v>
      </c>
      <c r="G36" s="234">
        <f t="shared" si="1"/>
        <v>0</v>
      </c>
      <c r="H36" s="234">
        <f t="shared" si="1"/>
        <v>0</v>
      </c>
      <c r="I36" s="234">
        <f t="shared" si="1"/>
        <v>0</v>
      </c>
      <c r="J36" s="234">
        <f t="shared" si="1"/>
        <v>1646850</v>
      </c>
      <c r="K36" s="234">
        <f t="shared" si="1"/>
        <v>0</v>
      </c>
      <c r="L36" s="235">
        <f t="shared" si="1"/>
        <v>0</v>
      </c>
      <c r="M36" s="810"/>
      <c r="N36" s="1237"/>
    </row>
    <row r="37" spans="2:14" ht="3.75" customHeight="1" thickBot="1" x14ac:dyDescent="0.3">
      <c r="B37" s="1257"/>
      <c r="C37" s="216"/>
      <c r="D37" s="216"/>
      <c r="E37" s="220"/>
      <c r="F37" s="220"/>
      <c r="G37" s="220"/>
      <c r="H37" s="220"/>
      <c r="I37" s="220"/>
      <c r="J37" s="220"/>
      <c r="K37" s="220"/>
      <c r="L37" s="1259"/>
      <c r="M37" s="810"/>
      <c r="N37" s="1237"/>
    </row>
    <row r="38" spans="2:14" ht="15.75" thickBot="1" x14ac:dyDescent="0.3">
      <c r="B38" s="1238"/>
      <c r="C38" s="213" t="s">
        <v>343</v>
      </c>
      <c r="D38" s="213"/>
      <c r="E38" s="233">
        <f t="shared" ref="E38:L38" si="2">E24+E36</f>
        <v>4132186</v>
      </c>
      <c r="F38" s="234">
        <f t="shared" si="2"/>
        <v>2486609</v>
      </c>
      <c r="G38" s="234">
        <f t="shared" si="2"/>
        <v>2502758</v>
      </c>
      <c r="H38" s="234">
        <f t="shared" si="2"/>
        <v>2521576</v>
      </c>
      <c r="I38" s="234">
        <f t="shared" si="2"/>
        <v>2540535</v>
      </c>
      <c r="J38" s="234">
        <f t="shared" si="2"/>
        <v>994066</v>
      </c>
      <c r="K38" s="234">
        <f t="shared" si="2"/>
        <v>97101</v>
      </c>
      <c r="L38" s="235">
        <f t="shared" si="2"/>
        <v>86738</v>
      </c>
      <c r="M38" s="810"/>
      <c r="N38" s="1237"/>
    </row>
    <row r="39" spans="2:14" x14ac:dyDescent="0.25">
      <c r="B39" s="1238"/>
      <c r="C39" s="212"/>
      <c r="D39" s="212"/>
      <c r="E39" s="212"/>
      <c r="F39" s="212"/>
      <c r="G39" s="212"/>
      <c r="H39" s="212"/>
      <c r="I39" s="212"/>
      <c r="J39" s="1249"/>
      <c r="K39" s="212"/>
      <c r="L39" s="1260"/>
      <c r="M39" s="810"/>
      <c r="N39" s="1237"/>
    </row>
    <row r="40" spans="2:14" ht="15.75" thickBot="1" x14ac:dyDescent="0.3">
      <c r="B40" s="1238"/>
      <c r="C40" s="211" t="s">
        <v>344</v>
      </c>
      <c r="D40" s="211"/>
      <c r="E40" s="1261"/>
      <c r="F40" s="1262"/>
      <c r="G40" s="1262"/>
      <c r="H40" s="1262"/>
      <c r="I40" s="1262"/>
      <c r="J40" s="1262"/>
      <c r="K40" s="1263"/>
      <c r="L40" s="1264"/>
      <c r="M40" s="810"/>
      <c r="N40" s="1237"/>
    </row>
    <row r="41" spans="2:14" x14ac:dyDescent="0.25">
      <c r="B41" s="1265"/>
      <c r="C41" s="227" t="s">
        <v>23</v>
      </c>
      <c r="D41" s="352"/>
      <c r="E41" s="778">
        <v>1683158</v>
      </c>
      <c r="F41" s="779">
        <v>0</v>
      </c>
      <c r="G41" s="779">
        <v>0</v>
      </c>
      <c r="H41" s="779">
        <v>0</v>
      </c>
      <c r="I41" s="779">
        <v>0</v>
      </c>
      <c r="J41" s="779">
        <v>0</v>
      </c>
      <c r="K41" s="779">
        <v>0</v>
      </c>
      <c r="L41" s="780">
        <v>0</v>
      </c>
      <c r="M41" s="810"/>
      <c r="N41" s="1237"/>
    </row>
    <row r="42" spans="2:14" x14ac:dyDescent="0.25">
      <c r="B42" s="1265"/>
      <c r="C42" s="228" t="s">
        <v>345</v>
      </c>
      <c r="D42" s="228"/>
      <c r="E42" s="781">
        <v>1593606</v>
      </c>
      <c r="F42" s="782">
        <v>2265644</v>
      </c>
      <c r="G42" s="782">
        <v>2265644</v>
      </c>
      <c r="H42" s="782">
        <v>2265644</v>
      </c>
      <c r="I42" s="782">
        <v>2265644</v>
      </c>
      <c r="J42" s="782">
        <v>755215</v>
      </c>
      <c r="K42" s="782">
        <v>0</v>
      </c>
      <c r="L42" s="783">
        <v>0</v>
      </c>
      <c r="M42" s="810"/>
      <c r="N42" s="1237"/>
    </row>
    <row r="43" spans="2:14" x14ac:dyDescent="0.25">
      <c r="B43" s="1238"/>
      <c r="C43" s="228" t="s">
        <v>346</v>
      </c>
      <c r="D43" s="228"/>
      <c r="E43" s="781">
        <v>38189</v>
      </c>
      <c r="F43" s="782">
        <v>0</v>
      </c>
      <c r="G43" s="782">
        <v>0</v>
      </c>
      <c r="H43" s="782">
        <v>0</v>
      </c>
      <c r="I43" s="782">
        <v>0</v>
      </c>
      <c r="J43" s="782">
        <v>0</v>
      </c>
      <c r="K43" s="782">
        <v>0</v>
      </c>
      <c r="L43" s="783">
        <v>0</v>
      </c>
      <c r="M43" s="810"/>
      <c r="N43" s="1237"/>
    </row>
    <row r="44" spans="2:14" x14ac:dyDescent="0.25">
      <c r="B44" s="1238"/>
      <c r="C44" s="229" t="s">
        <v>207</v>
      </c>
      <c r="D44" s="229"/>
      <c r="E44" s="781">
        <v>73000</v>
      </c>
      <c r="F44" s="782">
        <v>187688</v>
      </c>
      <c r="G44" s="782">
        <v>203837</v>
      </c>
      <c r="H44" s="782">
        <v>222655</v>
      </c>
      <c r="I44" s="782">
        <v>241614</v>
      </c>
      <c r="J44" s="782">
        <v>126922</v>
      </c>
      <c r="K44" s="782">
        <v>63824</v>
      </c>
      <c r="L44" s="783">
        <v>64554</v>
      </c>
      <c r="M44" s="810"/>
      <c r="N44" s="1237"/>
    </row>
    <row r="45" spans="2:14" x14ac:dyDescent="0.25">
      <c r="B45" s="1238"/>
      <c r="C45" s="229" t="s">
        <v>213</v>
      </c>
      <c r="D45" s="229"/>
      <c r="E45" s="781">
        <v>15000</v>
      </c>
      <c r="F45" s="782">
        <v>0</v>
      </c>
      <c r="G45" s="782">
        <v>0</v>
      </c>
      <c r="H45" s="782">
        <v>0</v>
      </c>
      <c r="I45" s="782">
        <v>0</v>
      </c>
      <c r="J45" s="782">
        <v>0</v>
      </c>
      <c r="K45" s="782">
        <v>0</v>
      </c>
      <c r="L45" s="783">
        <v>0</v>
      </c>
      <c r="M45" s="810"/>
      <c r="N45" s="1237"/>
    </row>
    <row r="46" spans="2:14" x14ac:dyDescent="0.25">
      <c r="B46" s="1238"/>
      <c r="C46" s="229" t="s">
        <v>221</v>
      </c>
      <c r="D46" s="229"/>
      <c r="E46" s="781">
        <v>0</v>
      </c>
      <c r="F46" s="782">
        <v>0</v>
      </c>
      <c r="G46" s="782">
        <v>0</v>
      </c>
      <c r="H46" s="782">
        <v>0</v>
      </c>
      <c r="I46" s="782">
        <v>0</v>
      </c>
      <c r="J46" s="782">
        <v>0</v>
      </c>
      <c r="K46" s="782">
        <v>0</v>
      </c>
      <c r="L46" s="783">
        <v>0</v>
      </c>
      <c r="M46" s="810"/>
      <c r="N46" s="1237"/>
    </row>
    <row r="47" spans="2:14" x14ac:dyDescent="0.25">
      <c r="B47" s="1238"/>
      <c r="C47" s="229" t="s">
        <v>224</v>
      </c>
      <c r="D47" s="229"/>
      <c r="E47" s="781">
        <v>729233</v>
      </c>
      <c r="F47" s="782">
        <v>33277</v>
      </c>
      <c r="G47" s="782">
        <v>33277</v>
      </c>
      <c r="H47" s="782">
        <v>33277</v>
      </c>
      <c r="I47" s="782">
        <v>33277</v>
      </c>
      <c r="J47" s="782">
        <v>111929</v>
      </c>
      <c r="K47" s="782">
        <v>33277</v>
      </c>
      <c r="L47" s="783">
        <v>22184</v>
      </c>
      <c r="M47" s="810"/>
      <c r="N47" s="1237"/>
    </row>
    <row r="48" spans="2:14" ht="15.75" thickBot="1" x14ac:dyDescent="0.3">
      <c r="B48" s="1238"/>
      <c r="C48" s="229" t="s">
        <v>347</v>
      </c>
      <c r="D48" s="229"/>
      <c r="E48" s="784">
        <v>0</v>
      </c>
      <c r="F48" s="785">
        <v>0</v>
      </c>
      <c r="G48" s="785">
        <v>0</v>
      </c>
      <c r="H48" s="785">
        <v>0</v>
      </c>
      <c r="I48" s="785">
        <v>0</v>
      </c>
      <c r="J48" s="785">
        <v>0</v>
      </c>
      <c r="K48" s="785">
        <v>0</v>
      </c>
      <c r="L48" s="786">
        <v>0</v>
      </c>
      <c r="M48" s="810"/>
      <c r="N48" s="1237"/>
    </row>
    <row r="49" spans="2:14" ht="3.75" customHeight="1" thickBot="1" x14ac:dyDescent="0.3">
      <c r="B49" s="1238"/>
      <c r="C49" s="223"/>
      <c r="D49" s="223"/>
      <c r="E49" s="220"/>
      <c r="F49" s="220"/>
      <c r="G49" s="220"/>
      <c r="H49" s="220"/>
      <c r="I49" s="220"/>
      <c r="J49" s="220"/>
      <c r="K49" s="220"/>
      <c r="L49" s="220"/>
      <c r="M49" s="810"/>
      <c r="N49" s="1237"/>
    </row>
    <row r="50" spans="2:14" ht="15.75" thickBot="1" x14ac:dyDescent="0.3">
      <c r="B50" s="1238"/>
      <c r="C50" s="213" t="s">
        <v>348</v>
      </c>
      <c r="D50" s="213"/>
      <c r="E50" s="233">
        <f>SUM(E41:E48)</f>
        <v>4132186</v>
      </c>
      <c r="F50" s="234">
        <f t="shared" ref="F50:L50" si="3">SUM(F41:F48)</f>
        <v>2486609</v>
      </c>
      <c r="G50" s="234">
        <f t="shared" si="3"/>
        <v>2502758</v>
      </c>
      <c r="H50" s="234">
        <f t="shared" si="3"/>
        <v>2521576</v>
      </c>
      <c r="I50" s="234">
        <f t="shared" si="3"/>
        <v>2540535</v>
      </c>
      <c r="J50" s="234">
        <f t="shared" si="3"/>
        <v>994066</v>
      </c>
      <c r="K50" s="234">
        <f t="shared" si="3"/>
        <v>97101</v>
      </c>
      <c r="L50" s="235">
        <f t="shared" si="3"/>
        <v>86738</v>
      </c>
      <c r="M50" s="810"/>
      <c r="N50" s="1237"/>
    </row>
    <row r="51" spans="2:14" ht="3.75" customHeight="1" thickBot="1" x14ac:dyDescent="0.3">
      <c r="B51" s="1238"/>
      <c r="C51" s="212"/>
      <c r="D51" s="212"/>
      <c r="E51" s="220"/>
      <c r="F51" s="220"/>
      <c r="G51" s="220"/>
      <c r="H51" s="220"/>
      <c r="I51" s="220"/>
      <c r="J51" s="1266"/>
      <c r="K51" s="212"/>
      <c r="L51" s="1264"/>
      <c r="M51" s="810"/>
      <c r="N51" s="1237"/>
    </row>
    <row r="52" spans="2:14" ht="15.75" thickBot="1" x14ac:dyDescent="0.3">
      <c r="B52" s="1238"/>
      <c r="C52" s="217" t="s">
        <v>349</v>
      </c>
      <c r="D52" s="217"/>
      <c r="E52" s="233">
        <f>E38-E50</f>
        <v>0</v>
      </c>
      <c r="F52" s="234">
        <f t="shared" ref="F52:L52" si="4">F38-F50</f>
        <v>0</v>
      </c>
      <c r="G52" s="234">
        <f t="shared" si="4"/>
        <v>0</v>
      </c>
      <c r="H52" s="234">
        <f t="shared" si="4"/>
        <v>0</v>
      </c>
      <c r="I52" s="234">
        <f t="shared" si="4"/>
        <v>0</v>
      </c>
      <c r="J52" s="234">
        <f t="shared" si="4"/>
        <v>0</v>
      </c>
      <c r="K52" s="234">
        <f t="shared" si="4"/>
        <v>0</v>
      </c>
      <c r="L52" s="235">
        <f t="shared" si="4"/>
        <v>0</v>
      </c>
      <c r="M52" s="810"/>
      <c r="N52" s="1237"/>
    </row>
    <row r="53" spans="2:14" ht="7.5" customHeight="1" x14ac:dyDescent="0.25">
      <c r="B53" s="1238"/>
      <c r="C53" s="212"/>
      <c r="D53" s="212"/>
      <c r="E53" s="212"/>
      <c r="F53" s="220"/>
      <c r="G53" s="220"/>
      <c r="H53" s="220"/>
      <c r="I53" s="220"/>
      <c r="J53" s="220"/>
      <c r="K53" s="220"/>
      <c r="L53" s="220"/>
      <c r="M53" s="220"/>
      <c r="N53" s="1237"/>
    </row>
    <row r="54" spans="2:14" x14ac:dyDescent="0.25">
      <c r="B54" s="1238"/>
      <c r="C54" s="218" t="s">
        <v>350</v>
      </c>
      <c r="D54" s="212"/>
      <c r="E54" s="814"/>
      <c r="F54" s="220"/>
      <c r="G54" s="220"/>
      <c r="H54" s="220"/>
      <c r="I54" s="220"/>
      <c r="J54" s="220"/>
      <c r="K54" s="220"/>
      <c r="L54" s="220"/>
      <c r="M54" s="220"/>
      <c r="N54" s="1237"/>
    </row>
    <row r="55" spans="2:14" ht="15" customHeight="1" x14ac:dyDescent="0.25">
      <c r="B55" s="1238"/>
      <c r="C55" s="2388" t="s">
        <v>1668</v>
      </c>
      <c r="D55" s="2389"/>
      <c r="E55" s="2389"/>
      <c r="F55" s="2389"/>
      <c r="G55" s="2389"/>
      <c r="H55" s="2389"/>
      <c r="I55" s="2389"/>
      <c r="J55" s="2389"/>
      <c r="K55" s="2389"/>
      <c r="L55" s="2390"/>
      <c r="M55" s="810"/>
      <c r="N55" s="1237"/>
    </row>
    <row r="56" spans="2:14" ht="15" customHeight="1" x14ac:dyDescent="0.25">
      <c r="B56" s="1238"/>
      <c r="C56" s="2391"/>
      <c r="D56" s="2392"/>
      <c r="E56" s="2392"/>
      <c r="F56" s="2392"/>
      <c r="G56" s="2392"/>
      <c r="H56" s="2392"/>
      <c r="I56" s="2392"/>
      <c r="J56" s="2392"/>
      <c r="K56" s="2392"/>
      <c r="L56" s="2393"/>
      <c r="M56" s="810"/>
      <c r="N56" s="1237"/>
    </row>
    <row r="57" spans="2:14" ht="15" customHeight="1" x14ac:dyDescent="0.25">
      <c r="B57" s="1238"/>
      <c r="C57" s="2391"/>
      <c r="D57" s="2392"/>
      <c r="E57" s="2392"/>
      <c r="F57" s="2392"/>
      <c r="G57" s="2392"/>
      <c r="H57" s="2392"/>
      <c r="I57" s="2392"/>
      <c r="J57" s="2392"/>
      <c r="K57" s="2392"/>
      <c r="L57" s="2393"/>
      <c r="M57" s="810"/>
      <c r="N57" s="1237"/>
    </row>
    <row r="58" spans="2:14" ht="15" customHeight="1" x14ac:dyDescent="0.25">
      <c r="B58" s="1238"/>
      <c r="C58" s="2394"/>
      <c r="D58" s="2395"/>
      <c r="E58" s="2395"/>
      <c r="F58" s="2395"/>
      <c r="G58" s="2395"/>
      <c r="H58" s="2395"/>
      <c r="I58" s="2395"/>
      <c r="J58" s="2395"/>
      <c r="K58" s="2395"/>
      <c r="L58" s="2396"/>
      <c r="M58" s="810"/>
      <c r="N58" s="1237"/>
    </row>
    <row r="59" spans="2:14" ht="9" customHeight="1" thickBot="1" x14ac:dyDescent="0.3">
      <c r="B59" s="1267"/>
      <c r="C59" s="834"/>
      <c r="D59" s="834"/>
      <c r="E59" s="1268"/>
      <c r="F59" s="1268"/>
      <c r="G59" s="1268"/>
      <c r="H59" s="1268"/>
      <c r="I59" s="1268"/>
      <c r="J59" s="1268"/>
      <c r="K59" s="1268"/>
      <c r="L59" s="1268"/>
      <c r="M59" s="1268"/>
      <c r="N59" s="1269"/>
    </row>
    <row r="60" spans="2:14" ht="3.75" customHeight="1" x14ac:dyDescent="0.25">
      <c r="B60" s="814"/>
      <c r="C60" s="814"/>
      <c r="D60" s="814"/>
      <c r="E60" s="814"/>
      <c r="F60" s="814"/>
      <c r="G60" s="814"/>
      <c r="H60" s="814"/>
      <c r="I60" s="814"/>
      <c r="J60" s="814"/>
      <c r="K60" s="814"/>
      <c r="L60" s="814"/>
      <c r="M60" s="814"/>
      <c r="N60" s="814"/>
    </row>
    <row r="61" spans="2:14" ht="3.75" customHeight="1" thickBot="1" x14ac:dyDescent="0.3">
      <c r="B61" s="814"/>
      <c r="C61" s="814"/>
      <c r="D61" s="814"/>
      <c r="E61" s="814"/>
      <c r="F61" s="814"/>
      <c r="G61" s="814"/>
      <c r="H61" s="814"/>
      <c r="I61" s="814"/>
      <c r="J61" s="814"/>
      <c r="K61" s="814"/>
      <c r="L61" s="814"/>
      <c r="M61" s="814"/>
      <c r="N61" s="814"/>
    </row>
    <row r="62" spans="2:14" ht="9" customHeight="1" x14ac:dyDescent="0.25">
      <c r="B62" s="1233"/>
      <c r="C62" s="1234"/>
      <c r="D62" s="1234"/>
      <c r="E62" s="1234"/>
      <c r="F62" s="1234"/>
      <c r="G62" s="1234"/>
      <c r="H62" s="1234"/>
      <c r="I62" s="1234"/>
      <c r="J62" s="1234"/>
      <c r="K62" s="1234"/>
      <c r="L62" s="1234"/>
      <c r="M62" s="1234"/>
      <c r="N62" s="1235"/>
    </row>
    <row r="63" spans="2:14" ht="18.75" x14ac:dyDescent="0.3">
      <c r="B63" s="1236"/>
      <c r="C63" s="2225" t="s">
        <v>1067</v>
      </c>
      <c r="D63" s="2225"/>
      <c r="E63" s="2225"/>
      <c r="F63" s="2225"/>
      <c r="G63" s="2225"/>
      <c r="H63" s="2225"/>
      <c r="I63" s="2225"/>
      <c r="J63" s="2225"/>
      <c r="K63" s="2225"/>
      <c r="L63" s="2225"/>
      <c r="M63" s="2225"/>
      <c r="N63" s="1237"/>
    </row>
    <row r="64" spans="2:14" ht="15" customHeight="1" x14ac:dyDescent="0.25">
      <c r="B64" s="1236"/>
      <c r="C64" s="898"/>
      <c r="D64" s="898"/>
      <c r="E64" s="898"/>
      <c r="F64" s="898"/>
      <c r="G64" s="898"/>
      <c r="H64" s="898"/>
      <c r="I64" s="898"/>
      <c r="J64" s="898"/>
      <c r="K64" s="898"/>
      <c r="L64" s="898"/>
      <c r="M64" s="898"/>
      <c r="N64" s="1237"/>
    </row>
    <row r="65" spans="2:14" x14ac:dyDescent="0.25">
      <c r="B65" s="1238"/>
      <c r="C65" s="1239" t="s">
        <v>334</v>
      </c>
      <c r="D65" s="1240" t="str">
        <f>IF('1A'!G5="","Enter Project Name on Form 1A",'1A'!G5)</f>
        <v>University District Apartments</v>
      </c>
      <c r="E65" s="1240"/>
      <c r="F65" s="1240"/>
      <c r="G65" s="1240"/>
      <c r="H65" s="1240"/>
      <c r="I65" s="1240"/>
      <c r="J65" s="1241"/>
      <c r="K65" s="212"/>
      <c r="L65" s="810"/>
      <c r="M65" s="810"/>
      <c r="N65" s="1237"/>
    </row>
    <row r="66" spans="2:14" ht="7.5" customHeight="1" x14ac:dyDescent="0.25">
      <c r="B66" s="1238"/>
      <c r="C66" s="1242"/>
      <c r="D66" s="1242"/>
      <c r="E66" s="1243"/>
      <c r="F66" s="1243"/>
      <c r="G66" s="1243"/>
      <c r="H66" s="212"/>
      <c r="I66" s="212"/>
      <c r="J66" s="212"/>
      <c r="K66" s="212"/>
      <c r="L66" s="217"/>
      <c r="M66" s="212"/>
      <c r="N66" s="1237"/>
    </row>
    <row r="67" spans="2:14" x14ac:dyDescent="0.25">
      <c r="B67" s="1238"/>
      <c r="C67" s="217" t="s">
        <v>335</v>
      </c>
      <c r="D67" s="1270">
        <f>IF(D15=0,"",D15)</f>
        <v>42262</v>
      </c>
      <c r="E67" s="1243"/>
      <c r="F67" s="1243"/>
      <c r="G67" s="1243"/>
      <c r="H67" s="212"/>
      <c r="I67" s="212"/>
      <c r="J67" s="212"/>
      <c r="K67" s="212"/>
      <c r="L67" s="217"/>
      <c r="M67" s="212"/>
      <c r="N67" s="1237"/>
    </row>
    <row r="68" spans="2:14" ht="15" customHeight="1" x14ac:dyDescent="0.25">
      <c r="B68" s="1238"/>
      <c r="C68" s="810"/>
      <c r="D68" s="810"/>
      <c r="E68" s="1242"/>
      <c r="F68" s="1244"/>
      <c r="G68" s="1245"/>
      <c r="H68" s="1246"/>
      <c r="I68" s="1242"/>
      <c r="J68" s="1242"/>
      <c r="K68" s="1242"/>
      <c r="L68" s="832"/>
      <c r="M68" s="832"/>
      <c r="N68" s="1237"/>
    </row>
    <row r="69" spans="2:14" ht="15.75" thickBot="1" x14ac:dyDescent="0.3">
      <c r="B69" s="1238"/>
      <c r="C69" s="211" t="s">
        <v>336</v>
      </c>
      <c r="D69" s="211"/>
      <c r="E69" s="1271"/>
      <c r="F69" s="212"/>
      <c r="G69" s="212"/>
      <c r="H69" s="212"/>
      <c r="I69" s="212"/>
      <c r="J69" s="212"/>
      <c r="K69" s="1249"/>
      <c r="L69" s="212"/>
      <c r="M69" s="212"/>
      <c r="N69" s="1237"/>
    </row>
    <row r="70" spans="2:14" x14ac:dyDescent="0.25">
      <c r="B70" s="1238"/>
      <c r="C70" s="212"/>
      <c r="D70" s="212"/>
      <c r="E70" s="240" t="s">
        <v>337</v>
      </c>
      <c r="F70" s="237" t="s">
        <v>338</v>
      </c>
      <c r="G70" s="238" t="s">
        <v>339</v>
      </c>
      <c r="H70" s="237" t="s">
        <v>340</v>
      </c>
      <c r="I70" s="238" t="s">
        <v>337</v>
      </c>
      <c r="J70" s="237" t="s">
        <v>338</v>
      </c>
      <c r="K70" s="238" t="s">
        <v>339</v>
      </c>
      <c r="L70" s="237" t="s">
        <v>340</v>
      </c>
      <c r="M70" s="724" t="s">
        <v>351</v>
      </c>
      <c r="N70" s="1237"/>
    </row>
    <row r="71" spans="2:14" ht="15.75" thickBot="1" x14ac:dyDescent="0.3">
      <c r="B71" s="1238"/>
      <c r="C71" s="213" t="s">
        <v>312</v>
      </c>
      <c r="D71" s="213"/>
      <c r="E71" s="1651">
        <v>43014</v>
      </c>
      <c r="F71" s="1652">
        <v>43101</v>
      </c>
      <c r="G71" s="1652">
        <v>43191</v>
      </c>
      <c r="H71" s="1652">
        <v>43282</v>
      </c>
      <c r="I71" s="1652">
        <v>43374</v>
      </c>
      <c r="J71" s="1652">
        <v>43466</v>
      </c>
      <c r="K71" s="1652">
        <v>43556</v>
      </c>
      <c r="L71" s="1653">
        <v>43647</v>
      </c>
      <c r="M71" s="725"/>
      <c r="N71" s="1237"/>
    </row>
    <row r="72" spans="2:14" x14ac:dyDescent="0.25">
      <c r="B72" s="1238"/>
      <c r="C72" s="1251" t="str">
        <f>C20</f>
        <v>Rental/Other Income</v>
      </c>
      <c r="D72" s="1251"/>
      <c r="E72" s="710">
        <v>0</v>
      </c>
      <c r="F72" s="711">
        <v>0</v>
      </c>
      <c r="G72" s="711">
        <v>0</v>
      </c>
      <c r="H72" s="711">
        <v>0</v>
      </c>
      <c r="I72" s="711">
        <v>0</v>
      </c>
      <c r="J72" s="711">
        <v>0</v>
      </c>
      <c r="K72" s="711">
        <v>0</v>
      </c>
      <c r="L72" s="712">
        <v>0</v>
      </c>
      <c r="M72" s="723">
        <f>SUM(E20:L20)+SUM(E72:L72)</f>
        <v>0</v>
      </c>
      <c r="N72" s="1237"/>
    </row>
    <row r="73" spans="2:14" x14ac:dyDescent="0.25">
      <c r="B73" s="1238"/>
      <c r="C73" s="1251" t="str">
        <f>C21</f>
        <v>Construction Loan</v>
      </c>
      <c r="D73" s="1251"/>
      <c r="E73" s="713">
        <v>0</v>
      </c>
      <c r="F73" s="714">
        <v>0</v>
      </c>
      <c r="G73" s="714">
        <v>0</v>
      </c>
      <c r="H73" s="714">
        <v>0</v>
      </c>
      <c r="I73" s="714">
        <v>0</v>
      </c>
      <c r="J73" s="714">
        <v>0</v>
      </c>
      <c r="K73" s="714">
        <v>0</v>
      </c>
      <c r="L73" s="715">
        <v>0</v>
      </c>
      <c r="M73" s="722">
        <f>SUM(E21:L21)+SUM(E73:L73)</f>
        <v>8661369</v>
      </c>
      <c r="N73" s="1237"/>
    </row>
    <row r="74" spans="2:14" x14ac:dyDescent="0.25">
      <c r="B74" s="1238"/>
      <c r="C74" s="1251" t="str">
        <f>C22</f>
        <v>Enter on 7A</v>
      </c>
      <c r="D74" s="1251"/>
      <c r="E74" s="713">
        <v>0</v>
      </c>
      <c r="F74" s="714">
        <v>0</v>
      </c>
      <c r="G74" s="714">
        <v>0</v>
      </c>
      <c r="H74" s="714">
        <v>0</v>
      </c>
      <c r="I74" s="714">
        <v>0</v>
      </c>
      <c r="J74" s="714">
        <v>0</v>
      </c>
      <c r="K74" s="714">
        <v>0</v>
      </c>
      <c r="L74" s="715">
        <v>0</v>
      </c>
      <c r="M74" s="231">
        <f>SUM(E22:L22)+SUM(E74:L74)</f>
        <v>0</v>
      </c>
      <c r="N74" s="1237"/>
    </row>
    <row r="75" spans="2:14" ht="15.75" thickBot="1" x14ac:dyDescent="0.3">
      <c r="B75" s="1238"/>
      <c r="C75" s="1251" t="str">
        <f>C23</f>
        <v>Enter on 7A</v>
      </c>
      <c r="D75" s="1251"/>
      <c r="E75" s="716">
        <v>0</v>
      </c>
      <c r="F75" s="717">
        <v>0</v>
      </c>
      <c r="G75" s="717">
        <v>0</v>
      </c>
      <c r="H75" s="717">
        <v>0</v>
      </c>
      <c r="I75" s="717">
        <v>0</v>
      </c>
      <c r="J75" s="717">
        <v>0</v>
      </c>
      <c r="K75" s="717">
        <v>0</v>
      </c>
      <c r="L75" s="718">
        <v>0</v>
      </c>
      <c r="M75" s="232">
        <f>SUM(E23:L23)+SUM(E75:L75)</f>
        <v>0</v>
      </c>
      <c r="N75" s="1237"/>
    </row>
    <row r="76" spans="2:14" ht="15.75" thickBot="1" x14ac:dyDescent="0.3">
      <c r="B76" s="1238"/>
      <c r="C76" s="1074"/>
      <c r="D76" s="226" t="s">
        <v>342</v>
      </c>
      <c r="E76" s="719">
        <f>SUM(E72:E75)</f>
        <v>0</v>
      </c>
      <c r="F76" s="720">
        <f t="shared" ref="F76:L76" si="5">SUM(F72:F75)</f>
        <v>0</v>
      </c>
      <c r="G76" s="720">
        <f t="shared" si="5"/>
        <v>0</v>
      </c>
      <c r="H76" s="720">
        <f t="shared" si="5"/>
        <v>0</v>
      </c>
      <c r="I76" s="720">
        <f t="shared" si="5"/>
        <v>0</v>
      </c>
      <c r="J76" s="720">
        <f t="shared" si="5"/>
        <v>0</v>
      </c>
      <c r="K76" s="720">
        <f t="shared" si="5"/>
        <v>0</v>
      </c>
      <c r="L76" s="721">
        <f t="shared" si="5"/>
        <v>0</v>
      </c>
      <c r="M76" s="219">
        <f>SUM(M72:M75)</f>
        <v>8661369</v>
      </c>
      <c r="N76" s="1237"/>
    </row>
    <row r="77" spans="2:14" ht="3.75" customHeight="1" x14ac:dyDescent="0.25">
      <c r="B77" s="1238"/>
      <c r="C77" s="214"/>
      <c r="D77" s="214"/>
      <c r="E77" s="399"/>
      <c r="F77" s="220"/>
      <c r="G77" s="220"/>
      <c r="H77" s="220"/>
      <c r="I77" s="220"/>
      <c r="J77" s="220"/>
      <c r="K77" s="220"/>
      <c r="L77" s="220"/>
      <c r="M77" s="220"/>
      <c r="N77" s="1237"/>
    </row>
    <row r="78" spans="2:14" ht="15.75" thickBot="1" x14ac:dyDescent="0.3">
      <c r="B78" s="1238"/>
      <c r="C78" s="213" t="s">
        <v>213</v>
      </c>
      <c r="D78" s="213"/>
      <c r="E78" s="399"/>
      <c r="F78" s="220"/>
      <c r="G78" s="220"/>
      <c r="H78" s="220"/>
      <c r="I78" s="220"/>
      <c r="J78" s="220"/>
      <c r="K78" s="220"/>
      <c r="L78" s="220"/>
      <c r="M78" s="220"/>
      <c r="N78" s="1237"/>
    </row>
    <row r="79" spans="2:14" x14ac:dyDescent="0.25">
      <c r="B79" s="1238"/>
      <c r="C79" s="1254" t="str">
        <f t="shared" ref="C79:C87" si="6">C27</f>
        <v>City Seattle</v>
      </c>
      <c r="D79" s="1254"/>
      <c r="E79" s="778">
        <v>0</v>
      </c>
      <c r="F79" s="779">
        <v>0</v>
      </c>
      <c r="G79" s="779">
        <v>0</v>
      </c>
      <c r="H79" s="779">
        <v>0</v>
      </c>
      <c r="I79" s="779">
        <v>0</v>
      </c>
      <c r="J79" s="779">
        <v>0</v>
      </c>
      <c r="K79" s="779">
        <v>0</v>
      </c>
      <c r="L79" s="780">
        <v>0</v>
      </c>
      <c r="M79" s="230">
        <f t="shared" ref="M79:M87" si="7">SUM(E27:L27)+SUM(E79:L79)</f>
        <v>706500</v>
      </c>
      <c r="N79" s="1237"/>
    </row>
    <row r="80" spans="2:14" x14ac:dyDescent="0.25">
      <c r="B80" s="1238"/>
      <c r="C80" s="1255" t="str">
        <f t="shared" si="6"/>
        <v>King County</v>
      </c>
      <c r="D80" s="1255"/>
      <c r="E80" s="781">
        <v>0</v>
      </c>
      <c r="F80" s="782">
        <v>0</v>
      </c>
      <c r="G80" s="782">
        <v>0</v>
      </c>
      <c r="H80" s="782">
        <v>0</v>
      </c>
      <c r="I80" s="782">
        <v>0</v>
      </c>
      <c r="J80" s="782">
        <v>0</v>
      </c>
      <c r="K80" s="782">
        <v>0</v>
      </c>
      <c r="L80" s="783">
        <v>0</v>
      </c>
      <c r="M80" s="231">
        <f t="shared" si="7"/>
        <v>450000</v>
      </c>
      <c r="N80" s="1237"/>
    </row>
    <row r="81" spans="2:14" x14ac:dyDescent="0.25">
      <c r="B81" s="1238"/>
      <c r="C81" s="1255" t="str">
        <f t="shared" si="6"/>
        <v>Housing Trust Fund</v>
      </c>
      <c r="D81" s="1255"/>
      <c r="E81" s="781">
        <v>0</v>
      </c>
      <c r="F81" s="782">
        <v>0</v>
      </c>
      <c r="G81" s="782">
        <v>0</v>
      </c>
      <c r="H81" s="782">
        <v>0</v>
      </c>
      <c r="I81" s="782">
        <v>0</v>
      </c>
      <c r="J81" s="782">
        <v>0</v>
      </c>
      <c r="K81" s="782">
        <v>0</v>
      </c>
      <c r="L81" s="783">
        <v>0</v>
      </c>
      <c r="M81" s="231">
        <f t="shared" si="7"/>
        <v>2250000</v>
      </c>
      <c r="N81" s="1237"/>
    </row>
    <row r="82" spans="2:14" x14ac:dyDescent="0.25">
      <c r="B82" s="1238"/>
      <c r="C82" s="1255" t="str">
        <f t="shared" si="6"/>
        <v>Permanent Financing - Residential</v>
      </c>
      <c r="D82" s="1255"/>
      <c r="E82" s="781">
        <v>0</v>
      </c>
      <c r="F82" s="782">
        <v>0</v>
      </c>
      <c r="G82" s="782">
        <v>0</v>
      </c>
      <c r="H82" s="782">
        <v>0</v>
      </c>
      <c r="I82" s="782">
        <v>0</v>
      </c>
      <c r="J82" s="782">
        <v>0</v>
      </c>
      <c r="K82" s="782">
        <v>0</v>
      </c>
      <c r="L82" s="783">
        <v>0</v>
      </c>
      <c r="M82" s="231">
        <f t="shared" si="7"/>
        <v>0</v>
      </c>
      <c r="N82" s="1237"/>
    </row>
    <row r="83" spans="2:14" x14ac:dyDescent="0.25">
      <c r="B83" s="1238"/>
      <c r="C83" s="1255" t="str">
        <f t="shared" si="6"/>
        <v>Deferred Fee</v>
      </c>
      <c r="D83" s="1255"/>
      <c r="E83" s="781">
        <v>0</v>
      </c>
      <c r="F83" s="782">
        <v>0</v>
      </c>
      <c r="G83" s="782">
        <v>0</v>
      </c>
      <c r="H83" s="782">
        <v>0</v>
      </c>
      <c r="I83" s="782">
        <v>0</v>
      </c>
      <c r="J83" s="782">
        <v>0</v>
      </c>
      <c r="K83" s="782">
        <v>0</v>
      </c>
      <c r="L83" s="783">
        <v>0</v>
      </c>
      <c r="M83" s="231">
        <f t="shared" si="7"/>
        <v>0</v>
      </c>
      <c r="N83" s="1237"/>
    </row>
    <row r="84" spans="2:14" x14ac:dyDescent="0.25">
      <c r="B84" s="1238"/>
      <c r="C84" s="1255" t="str">
        <f t="shared" si="6"/>
        <v xml:space="preserve">Energy Efficiency Incentives </v>
      </c>
      <c r="D84" s="1255"/>
      <c r="E84" s="781">
        <v>0</v>
      </c>
      <c r="F84" s="782">
        <v>0</v>
      </c>
      <c r="G84" s="782">
        <v>0</v>
      </c>
      <c r="H84" s="782">
        <v>0</v>
      </c>
      <c r="I84" s="782">
        <v>0</v>
      </c>
      <c r="J84" s="782">
        <v>0</v>
      </c>
      <c r="K84" s="782">
        <v>0</v>
      </c>
      <c r="L84" s="783">
        <v>0</v>
      </c>
      <c r="M84" s="231">
        <f t="shared" si="7"/>
        <v>0</v>
      </c>
      <c r="N84" s="1237"/>
    </row>
    <row r="85" spans="2:14" x14ac:dyDescent="0.25">
      <c r="B85" s="1238"/>
      <c r="C85" s="1256" t="str">
        <f t="shared" si="6"/>
        <v>LIHTC Equity</v>
      </c>
      <c r="D85" s="1256"/>
      <c r="E85" s="781">
        <v>0</v>
      </c>
      <c r="F85" s="782">
        <v>0</v>
      </c>
      <c r="G85" s="782">
        <v>0</v>
      </c>
      <c r="H85" s="782">
        <v>0</v>
      </c>
      <c r="I85" s="782">
        <v>0</v>
      </c>
      <c r="J85" s="782">
        <v>0</v>
      </c>
      <c r="K85" s="782">
        <v>0</v>
      </c>
      <c r="L85" s="783">
        <v>0</v>
      </c>
      <c r="M85" s="231">
        <f t="shared" si="7"/>
        <v>3293700</v>
      </c>
      <c r="N85" s="1237"/>
    </row>
    <row r="86" spans="2:14" x14ac:dyDescent="0.25">
      <c r="B86" s="1238"/>
      <c r="C86" s="1255" t="str">
        <f t="shared" si="6"/>
        <v>Bellwether Loan</v>
      </c>
      <c r="D86" s="1255"/>
      <c r="E86" s="781">
        <v>0</v>
      </c>
      <c r="F86" s="782">
        <v>0</v>
      </c>
      <c r="G86" s="782">
        <v>0</v>
      </c>
      <c r="H86" s="782">
        <v>0</v>
      </c>
      <c r="I86" s="782">
        <v>0</v>
      </c>
      <c r="J86" s="782">
        <v>0</v>
      </c>
      <c r="K86" s="782">
        <v>0</v>
      </c>
      <c r="L86" s="783">
        <v>0</v>
      </c>
      <c r="M86" s="231">
        <f t="shared" si="7"/>
        <v>0</v>
      </c>
      <c r="N86" s="1237"/>
    </row>
    <row r="87" spans="2:14" ht="15.75" thickBot="1" x14ac:dyDescent="0.3">
      <c r="B87" s="1238"/>
      <c r="C87" s="1255" t="str">
        <f t="shared" si="6"/>
        <v>Bank Perm Loan</v>
      </c>
      <c r="D87" s="1255"/>
      <c r="E87" s="784">
        <v>0</v>
      </c>
      <c r="F87" s="785">
        <v>0</v>
      </c>
      <c r="G87" s="785">
        <v>0</v>
      </c>
      <c r="H87" s="785">
        <v>0</v>
      </c>
      <c r="I87" s="785">
        <v>0</v>
      </c>
      <c r="J87" s="785">
        <v>0</v>
      </c>
      <c r="K87" s="785">
        <v>0</v>
      </c>
      <c r="L87" s="786">
        <v>0</v>
      </c>
      <c r="M87" s="232">
        <f t="shared" si="7"/>
        <v>0</v>
      </c>
      <c r="N87" s="1237"/>
    </row>
    <row r="88" spans="2:14" ht="15.75" thickBot="1" x14ac:dyDescent="0.3">
      <c r="B88" s="1238"/>
      <c r="C88" s="1258"/>
      <c r="D88" s="215" t="s">
        <v>342</v>
      </c>
      <c r="E88" s="233">
        <f>SUM(E79:E87)</f>
        <v>0</v>
      </c>
      <c r="F88" s="234">
        <f t="shared" ref="F88:L88" si="8">SUM(F79:F87)</f>
        <v>0</v>
      </c>
      <c r="G88" s="234">
        <f t="shared" si="8"/>
        <v>0</v>
      </c>
      <c r="H88" s="234">
        <f t="shared" si="8"/>
        <v>0</v>
      </c>
      <c r="I88" s="234">
        <f t="shared" si="8"/>
        <v>0</v>
      </c>
      <c r="J88" s="234">
        <f t="shared" si="8"/>
        <v>0</v>
      </c>
      <c r="K88" s="234">
        <f t="shared" si="8"/>
        <v>0</v>
      </c>
      <c r="L88" s="235">
        <f t="shared" si="8"/>
        <v>0</v>
      </c>
      <c r="M88" s="219">
        <f>SUM(M79:M87)</f>
        <v>6700200</v>
      </c>
      <c r="N88" s="1237"/>
    </row>
    <row r="89" spans="2:14" ht="3.75" customHeight="1" thickBot="1" x14ac:dyDescent="0.3">
      <c r="B89" s="1238"/>
      <c r="C89" s="216"/>
      <c r="D89" s="216"/>
      <c r="E89" s="220"/>
      <c r="F89" s="220"/>
      <c r="G89" s="220"/>
      <c r="H89" s="220"/>
      <c r="I89" s="220"/>
      <c r="J89" s="220"/>
      <c r="K89" s="220"/>
      <c r="L89" s="220"/>
      <c r="M89" s="221"/>
      <c r="N89" s="1237"/>
    </row>
    <row r="90" spans="2:14" ht="15.75" thickBot="1" x14ac:dyDescent="0.3">
      <c r="B90" s="1238"/>
      <c r="C90" s="213" t="s">
        <v>343</v>
      </c>
      <c r="D90" s="213"/>
      <c r="E90" s="233">
        <f>E76+E88</f>
        <v>0</v>
      </c>
      <c r="F90" s="234">
        <f t="shared" ref="F90:L90" si="9">F76+F88</f>
        <v>0</v>
      </c>
      <c r="G90" s="234">
        <f t="shared" si="9"/>
        <v>0</v>
      </c>
      <c r="H90" s="234">
        <f t="shared" si="9"/>
        <v>0</v>
      </c>
      <c r="I90" s="234">
        <f t="shared" si="9"/>
        <v>0</v>
      </c>
      <c r="J90" s="234">
        <f t="shared" si="9"/>
        <v>0</v>
      </c>
      <c r="K90" s="234">
        <f t="shared" si="9"/>
        <v>0</v>
      </c>
      <c r="L90" s="235">
        <f t="shared" si="9"/>
        <v>0</v>
      </c>
      <c r="M90" s="222">
        <f>M76+M88</f>
        <v>15361569</v>
      </c>
      <c r="N90" s="1237"/>
    </row>
    <row r="91" spans="2:14" x14ac:dyDescent="0.25">
      <c r="B91" s="1238"/>
      <c r="C91" s="212"/>
      <c r="D91" s="212"/>
      <c r="E91" s="212"/>
      <c r="F91" s="212"/>
      <c r="G91" s="212"/>
      <c r="H91" s="212"/>
      <c r="I91" s="212"/>
      <c r="J91" s="1249"/>
      <c r="K91" s="212"/>
      <c r="L91" s="212"/>
      <c r="M91" s="223" t="s">
        <v>352</v>
      </c>
      <c r="N91" s="1237"/>
    </row>
    <row r="92" spans="2:14" ht="15.75" thickBot="1" x14ac:dyDescent="0.3">
      <c r="B92" s="1238"/>
      <c r="C92" s="211" t="s">
        <v>344</v>
      </c>
      <c r="D92" s="211"/>
      <c r="E92" s="399"/>
      <c r="F92" s="1272"/>
      <c r="G92" s="1272"/>
      <c r="H92" s="1272"/>
      <c r="I92" s="1272"/>
      <c r="J92" s="1272"/>
      <c r="K92" s="1249"/>
      <c r="L92" s="212"/>
      <c r="M92" s="212"/>
      <c r="N92" s="1237"/>
    </row>
    <row r="93" spans="2:14" x14ac:dyDescent="0.25">
      <c r="B93" s="1238"/>
      <c r="C93" s="227" t="s">
        <v>23</v>
      </c>
      <c r="D93" s="352"/>
      <c r="E93" s="778">
        <v>0</v>
      </c>
      <c r="F93" s="779">
        <v>0</v>
      </c>
      <c r="G93" s="779">
        <v>0</v>
      </c>
      <c r="H93" s="779">
        <v>0</v>
      </c>
      <c r="I93" s="779">
        <v>0</v>
      </c>
      <c r="J93" s="779">
        <v>0</v>
      </c>
      <c r="K93" s="779">
        <v>0</v>
      </c>
      <c r="L93" s="780">
        <v>0</v>
      </c>
      <c r="M93" s="230">
        <f t="shared" ref="M93:M100" si="10">SUM(E41:L41)+SUM(E93:L93)</f>
        <v>1683158</v>
      </c>
      <c r="N93" s="1237"/>
    </row>
    <row r="94" spans="2:14" x14ac:dyDescent="0.25">
      <c r="B94" s="1238"/>
      <c r="C94" s="228" t="s">
        <v>345</v>
      </c>
      <c r="D94" s="228"/>
      <c r="E94" s="781">
        <v>0</v>
      </c>
      <c r="F94" s="782">
        <v>0</v>
      </c>
      <c r="G94" s="782">
        <v>0</v>
      </c>
      <c r="H94" s="782">
        <v>0</v>
      </c>
      <c r="I94" s="782">
        <v>0</v>
      </c>
      <c r="J94" s="782">
        <v>0</v>
      </c>
      <c r="K94" s="782">
        <v>0</v>
      </c>
      <c r="L94" s="783">
        <v>0</v>
      </c>
      <c r="M94" s="231">
        <f t="shared" si="10"/>
        <v>11411397</v>
      </c>
      <c r="N94" s="1237"/>
    </row>
    <row r="95" spans="2:14" x14ac:dyDescent="0.25">
      <c r="B95" s="1238"/>
      <c r="C95" s="228" t="s">
        <v>346</v>
      </c>
      <c r="D95" s="228"/>
      <c r="E95" s="781">
        <v>0</v>
      </c>
      <c r="F95" s="782">
        <v>0</v>
      </c>
      <c r="G95" s="782">
        <v>0</v>
      </c>
      <c r="H95" s="782">
        <v>0</v>
      </c>
      <c r="I95" s="782">
        <v>0</v>
      </c>
      <c r="J95" s="782">
        <v>0</v>
      </c>
      <c r="K95" s="782">
        <v>0</v>
      </c>
      <c r="L95" s="783">
        <v>0</v>
      </c>
      <c r="M95" s="231">
        <f t="shared" si="10"/>
        <v>38189</v>
      </c>
      <c r="N95" s="1237"/>
    </row>
    <row r="96" spans="2:14" x14ac:dyDescent="0.25">
      <c r="B96" s="1238"/>
      <c r="C96" s="229" t="s">
        <v>207</v>
      </c>
      <c r="D96" s="229"/>
      <c r="E96" s="781">
        <v>0</v>
      </c>
      <c r="F96" s="782">
        <v>0</v>
      </c>
      <c r="G96" s="782">
        <v>0</v>
      </c>
      <c r="H96" s="782">
        <v>0</v>
      </c>
      <c r="I96" s="782">
        <v>0</v>
      </c>
      <c r="J96" s="782">
        <v>0</v>
      </c>
      <c r="K96" s="782">
        <v>0</v>
      </c>
      <c r="L96" s="783">
        <v>0</v>
      </c>
      <c r="M96" s="231">
        <f t="shared" si="10"/>
        <v>1184094</v>
      </c>
      <c r="N96" s="1237"/>
    </row>
    <row r="97" spans="2:14" x14ac:dyDescent="0.25">
      <c r="B97" s="1238"/>
      <c r="C97" s="229" t="s">
        <v>213</v>
      </c>
      <c r="D97" s="229"/>
      <c r="E97" s="781">
        <v>0</v>
      </c>
      <c r="F97" s="782">
        <v>0</v>
      </c>
      <c r="G97" s="782">
        <v>0</v>
      </c>
      <c r="H97" s="782">
        <v>0</v>
      </c>
      <c r="I97" s="782">
        <v>0</v>
      </c>
      <c r="J97" s="782">
        <v>0</v>
      </c>
      <c r="K97" s="782">
        <v>0</v>
      </c>
      <c r="L97" s="783">
        <v>0</v>
      </c>
      <c r="M97" s="231">
        <f t="shared" si="10"/>
        <v>15000</v>
      </c>
      <c r="N97" s="1237"/>
    </row>
    <row r="98" spans="2:14" x14ac:dyDescent="0.25">
      <c r="B98" s="1238"/>
      <c r="C98" s="229" t="s">
        <v>221</v>
      </c>
      <c r="D98" s="229"/>
      <c r="E98" s="781">
        <v>0</v>
      </c>
      <c r="F98" s="782">
        <v>0</v>
      </c>
      <c r="G98" s="782">
        <v>0</v>
      </c>
      <c r="H98" s="782">
        <v>0</v>
      </c>
      <c r="I98" s="782">
        <v>0</v>
      </c>
      <c r="J98" s="782">
        <v>0</v>
      </c>
      <c r="K98" s="782">
        <v>0</v>
      </c>
      <c r="L98" s="783">
        <v>0</v>
      </c>
      <c r="M98" s="231">
        <f t="shared" si="10"/>
        <v>0</v>
      </c>
      <c r="N98" s="1237"/>
    </row>
    <row r="99" spans="2:14" x14ac:dyDescent="0.25">
      <c r="B99" s="1238"/>
      <c r="C99" s="229" t="s">
        <v>224</v>
      </c>
      <c r="D99" s="229"/>
      <c r="E99" s="781">
        <v>0</v>
      </c>
      <c r="F99" s="782">
        <v>0</v>
      </c>
      <c r="G99" s="782">
        <v>0</v>
      </c>
      <c r="H99" s="782">
        <v>0</v>
      </c>
      <c r="I99" s="782">
        <v>0</v>
      </c>
      <c r="J99" s="782">
        <v>0</v>
      </c>
      <c r="K99" s="782">
        <v>0</v>
      </c>
      <c r="L99" s="783">
        <v>0</v>
      </c>
      <c r="M99" s="231">
        <f t="shared" si="10"/>
        <v>1029731</v>
      </c>
      <c r="N99" s="1237"/>
    </row>
    <row r="100" spans="2:14" ht="15.75" thickBot="1" x14ac:dyDescent="0.3">
      <c r="B100" s="1238"/>
      <c r="C100" s="229" t="s">
        <v>347</v>
      </c>
      <c r="D100" s="229"/>
      <c r="E100" s="784">
        <v>0</v>
      </c>
      <c r="F100" s="785">
        <v>0</v>
      </c>
      <c r="G100" s="785">
        <v>0</v>
      </c>
      <c r="H100" s="785">
        <v>0</v>
      </c>
      <c r="I100" s="785">
        <v>0</v>
      </c>
      <c r="J100" s="785">
        <v>0</v>
      </c>
      <c r="K100" s="785">
        <v>0</v>
      </c>
      <c r="L100" s="786">
        <v>0</v>
      </c>
      <c r="M100" s="232">
        <f t="shared" si="10"/>
        <v>0</v>
      </c>
      <c r="N100" s="1237"/>
    </row>
    <row r="101" spans="2:14" ht="3.75" customHeight="1" thickBot="1" x14ac:dyDescent="0.3">
      <c r="B101" s="1238"/>
      <c r="C101" s="223"/>
      <c r="D101" s="223"/>
      <c r="E101" s="220"/>
      <c r="F101" s="220"/>
      <c r="G101" s="220"/>
      <c r="H101" s="220"/>
      <c r="I101" s="220"/>
      <c r="J101" s="220"/>
      <c r="K101" s="220"/>
      <c r="L101" s="220"/>
      <c r="M101" s="221"/>
      <c r="N101" s="1237"/>
    </row>
    <row r="102" spans="2:14" ht="15.75" thickBot="1" x14ac:dyDescent="0.3">
      <c r="B102" s="1238"/>
      <c r="C102" s="224" t="s">
        <v>348</v>
      </c>
      <c r="D102" s="224"/>
      <c r="E102" s="233">
        <f>SUM(E93:E100)</f>
        <v>0</v>
      </c>
      <c r="F102" s="234">
        <f t="shared" ref="F102:L102" si="11">SUM(F93:F100)</f>
        <v>0</v>
      </c>
      <c r="G102" s="234">
        <f t="shared" si="11"/>
        <v>0</v>
      </c>
      <c r="H102" s="234">
        <f t="shared" si="11"/>
        <v>0</v>
      </c>
      <c r="I102" s="234">
        <f t="shared" si="11"/>
        <v>0</v>
      </c>
      <c r="J102" s="234">
        <f t="shared" si="11"/>
        <v>0</v>
      </c>
      <c r="K102" s="234">
        <f t="shared" si="11"/>
        <v>0</v>
      </c>
      <c r="L102" s="235">
        <f t="shared" si="11"/>
        <v>0</v>
      </c>
      <c r="M102" s="225">
        <f>SUM(M93:M100)</f>
        <v>15361569</v>
      </c>
      <c r="N102" s="1237"/>
    </row>
    <row r="103" spans="2:14" ht="3.75" customHeight="1" thickBot="1" x14ac:dyDescent="0.3">
      <c r="B103" s="1238"/>
      <c r="C103" s="212"/>
      <c r="D103" s="212"/>
      <c r="E103" s="220"/>
      <c r="F103" s="220"/>
      <c r="G103" s="220"/>
      <c r="H103" s="220"/>
      <c r="I103" s="220"/>
      <c r="J103" s="1266"/>
      <c r="K103" s="212"/>
      <c r="L103" s="212"/>
      <c r="M103" s="223"/>
      <c r="N103" s="1237"/>
    </row>
    <row r="104" spans="2:14" ht="15.75" thickBot="1" x14ac:dyDescent="0.3">
      <c r="B104" s="1238"/>
      <c r="C104" s="217" t="s">
        <v>349</v>
      </c>
      <c r="D104" s="217"/>
      <c r="E104" s="233">
        <f>E90-E102</f>
        <v>0</v>
      </c>
      <c r="F104" s="234">
        <f t="shared" ref="F104:L104" si="12">F90-F102</f>
        <v>0</v>
      </c>
      <c r="G104" s="234">
        <f t="shared" si="12"/>
        <v>0</v>
      </c>
      <c r="H104" s="234">
        <f t="shared" si="12"/>
        <v>0</v>
      </c>
      <c r="I104" s="234">
        <f t="shared" si="12"/>
        <v>0</v>
      </c>
      <c r="J104" s="234">
        <f t="shared" si="12"/>
        <v>0</v>
      </c>
      <c r="K104" s="234">
        <f t="shared" si="12"/>
        <v>0</v>
      </c>
      <c r="L104" s="235">
        <f t="shared" si="12"/>
        <v>0</v>
      </c>
      <c r="M104" s="219">
        <f>M90-M102</f>
        <v>0</v>
      </c>
      <c r="N104" s="1237"/>
    </row>
    <row r="105" spans="2:14" ht="7.5" customHeight="1" x14ac:dyDescent="0.25">
      <c r="B105" s="1238"/>
      <c r="C105" s="212"/>
      <c r="D105" s="212"/>
      <c r="E105" s="212"/>
      <c r="F105" s="220"/>
      <c r="G105" s="220"/>
      <c r="H105" s="220"/>
      <c r="I105" s="220"/>
      <c r="J105" s="220"/>
      <c r="K105" s="220"/>
      <c r="L105" s="220"/>
      <c r="M105" s="220"/>
      <c r="N105" s="1237"/>
    </row>
    <row r="106" spans="2:14" x14ac:dyDescent="0.25">
      <c r="B106" s="1238"/>
      <c r="C106" s="218" t="s">
        <v>350</v>
      </c>
      <c r="D106" s="212"/>
      <c r="E106" s="814"/>
      <c r="F106" s="220"/>
      <c r="G106" s="220"/>
      <c r="H106" s="220"/>
      <c r="I106" s="220"/>
      <c r="J106" s="220"/>
      <c r="K106" s="220"/>
      <c r="L106" s="220"/>
      <c r="M106" s="220"/>
      <c r="N106" s="1237"/>
    </row>
    <row r="107" spans="2:14" ht="15" customHeight="1" x14ac:dyDescent="0.25">
      <c r="B107" s="1238"/>
      <c r="C107" s="2388"/>
      <c r="D107" s="2389"/>
      <c r="E107" s="2389"/>
      <c r="F107" s="2389"/>
      <c r="G107" s="2389"/>
      <c r="H107" s="2389"/>
      <c r="I107" s="2389"/>
      <c r="J107" s="2389"/>
      <c r="K107" s="2389"/>
      <c r="L107" s="2390"/>
      <c r="M107" s="810"/>
      <c r="N107" s="1237"/>
    </row>
    <row r="108" spans="2:14" ht="15" customHeight="1" x14ac:dyDescent="0.25">
      <c r="B108" s="1238"/>
      <c r="C108" s="2391"/>
      <c r="D108" s="2392"/>
      <c r="E108" s="2392"/>
      <c r="F108" s="2392"/>
      <c r="G108" s="2392"/>
      <c r="H108" s="2392"/>
      <c r="I108" s="2392"/>
      <c r="J108" s="2392"/>
      <c r="K108" s="2392"/>
      <c r="L108" s="2393"/>
      <c r="M108" s="810"/>
      <c r="N108" s="1237"/>
    </row>
    <row r="109" spans="2:14" x14ac:dyDescent="0.25">
      <c r="B109" s="1238"/>
      <c r="C109" s="2391"/>
      <c r="D109" s="2392"/>
      <c r="E109" s="2392"/>
      <c r="F109" s="2392"/>
      <c r="G109" s="2392"/>
      <c r="H109" s="2392"/>
      <c r="I109" s="2392"/>
      <c r="J109" s="2392"/>
      <c r="K109" s="2392"/>
      <c r="L109" s="2393"/>
      <c r="M109" s="810"/>
      <c r="N109" s="1237"/>
    </row>
    <row r="110" spans="2:14" ht="15" customHeight="1" x14ac:dyDescent="0.25">
      <c r="B110" s="1238"/>
      <c r="C110" s="2394"/>
      <c r="D110" s="2395"/>
      <c r="E110" s="2395"/>
      <c r="F110" s="2395"/>
      <c r="G110" s="2395"/>
      <c r="H110" s="2395"/>
      <c r="I110" s="2395"/>
      <c r="J110" s="2395"/>
      <c r="K110" s="2395"/>
      <c r="L110" s="2396"/>
      <c r="M110" s="810"/>
      <c r="N110" s="1237"/>
    </row>
    <row r="111" spans="2:14" ht="9" customHeight="1" thickBot="1" x14ac:dyDescent="0.3">
      <c r="B111" s="1267"/>
      <c r="C111" s="916"/>
      <c r="D111" s="916"/>
      <c r="E111" s="1273"/>
      <c r="F111" s="1273"/>
      <c r="G111" s="1273"/>
      <c r="H111" s="1273"/>
      <c r="I111" s="1273"/>
      <c r="J111" s="1273"/>
      <c r="K111" s="1273"/>
      <c r="L111" s="1273"/>
      <c r="M111" s="1273"/>
      <c r="N111" s="1269"/>
    </row>
  </sheetData>
  <sheetProtection password="9F6B" sheet="1" objects="1" scenarios="1" formatCells="0" formatColumns="0" formatRows="0" insertRows="0"/>
  <mergeCells count="4">
    <mergeCell ref="C55:L58"/>
    <mergeCell ref="C63:M63"/>
    <mergeCell ref="C107:L110"/>
    <mergeCell ref="C11:M11"/>
  </mergeCells>
  <pageMargins left="0.7" right="0.7" top="0.75" bottom="0.75" header="0.3" footer="0.3"/>
  <pageSetup scale="66" fitToHeight="2" orientation="portrait" r:id="rId1"/>
  <headerFooter>
    <oddFooter>&amp;LForm 7B
Estimate of Cash Flow During Development&amp;CCFA Forms&amp;REdition: 2015
Version: 1.1</oddFooter>
  </headerFooter>
  <rowBreaks count="1" manualBreakCount="1">
    <brk id="60" min="1" max="1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showGridLines="0" zoomScaleNormal="100" workbookViewId="0">
      <selection activeCell="P32" sqref="P32"/>
    </sheetView>
  </sheetViews>
  <sheetFormatPr defaultRowHeight="15" x14ac:dyDescent="0.25"/>
  <cols>
    <col min="1" max="2" width="1.7109375" style="918" customWidth="1"/>
    <col min="3" max="3" width="14.28515625" style="918" customWidth="1"/>
    <col min="4" max="4" width="7" style="918" bestFit="1" customWidth="1"/>
    <col min="5" max="8" width="9.140625" style="918"/>
    <col min="9" max="9" width="11" style="918" customWidth="1"/>
    <col min="10" max="11" width="9.140625" style="918"/>
    <col min="12" max="12" width="11.7109375" style="918" bestFit="1" customWidth="1"/>
    <col min="13" max="13" width="12" style="918" customWidth="1"/>
    <col min="14" max="14" width="11.42578125" style="918" customWidth="1"/>
    <col min="15" max="15" width="1.7109375" style="918" customWidth="1"/>
    <col min="16" max="16384" width="9.140625" style="918"/>
  </cols>
  <sheetData>
    <row r="1" spans="2:15" ht="9" customHeight="1" thickBot="1" x14ac:dyDescent="0.3"/>
    <row r="2" spans="2:15" ht="9" customHeight="1" x14ac:dyDescent="0.25">
      <c r="B2" s="353"/>
      <c r="C2" s="1503"/>
      <c r="D2" s="1503"/>
      <c r="E2" s="1504"/>
      <c r="F2" s="1504"/>
      <c r="G2" s="1503"/>
      <c r="H2" s="1503"/>
      <c r="I2" s="1503"/>
      <c r="J2" s="1503"/>
      <c r="K2" s="1503"/>
      <c r="L2" s="1503"/>
      <c r="M2" s="1503"/>
      <c r="N2" s="1503"/>
      <c r="O2" s="1505"/>
    </row>
    <row r="3" spans="2:15" ht="18.75" x14ac:dyDescent="0.25">
      <c r="B3" s="8"/>
      <c r="C3" s="2131" t="s">
        <v>1384</v>
      </c>
      <c r="D3" s="2131"/>
      <c r="E3" s="2131"/>
      <c r="F3" s="2131"/>
      <c r="G3" s="2131"/>
      <c r="H3" s="2131"/>
      <c r="I3" s="2131"/>
      <c r="J3" s="2131"/>
      <c r="K3" s="2131"/>
      <c r="L3" s="2131"/>
      <c r="M3" s="2131"/>
      <c r="N3" s="2131"/>
      <c r="O3" s="1506"/>
    </row>
    <row r="4" spans="2:15" x14ac:dyDescent="0.25">
      <c r="B4" s="8"/>
      <c r="C4" s="5"/>
      <c r="D4" s="5"/>
      <c r="E4" s="247"/>
      <c r="F4" s="247"/>
      <c r="G4" s="5"/>
      <c r="H4" s="5"/>
      <c r="I4" s="5"/>
      <c r="J4" s="5"/>
      <c r="K4" s="5"/>
      <c r="L4" s="5"/>
      <c r="M4" s="5"/>
      <c r="N4" s="5"/>
      <c r="O4" s="1506"/>
    </row>
    <row r="5" spans="2:15" x14ac:dyDescent="0.25">
      <c r="B5" s="1124"/>
      <c r="C5" s="922" t="s">
        <v>59</v>
      </c>
      <c r="D5" s="2397" t="str">
        <f>IF('1A'!G5="","Enter Project Name on Form 1A",'1A'!G5)</f>
        <v>University District Apartments</v>
      </c>
      <c r="E5" s="2397"/>
      <c r="F5" s="2397"/>
      <c r="G5" s="2397"/>
      <c r="H5" s="2397"/>
      <c r="I5" s="2397"/>
      <c r="J5" s="2397"/>
      <c r="K5" s="1123"/>
      <c r="L5" s="1123"/>
      <c r="M5" s="1123"/>
      <c r="N5" s="1123"/>
      <c r="O5" s="1198"/>
    </row>
    <row r="6" spans="2:15" ht="3.75" customHeight="1" x14ac:dyDescent="0.25">
      <c r="B6" s="8"/>
      <c r="C6" s="5"/>
      <c r="D6" s="5"/>
      <c r="E6" s="247"/>
      <c r="F6" s="247"/>
      <c r="G6" s="5"/>
      <c r="H6" s="5"/>
      <c r="I6" s="5"/>
      <c r="J6" s="5"/>
      <c r="K6" s="5"/>
      <c r="L6" s="5"/>
      <c r="M6" s="5"/>
      <c r="N6" s="5"/>
      <c r="O6" s="1506"/>
    </row>
    <row r="7" spans="2:15" x14ac:dyDescent="0.25">
      <c r="B7" s="1124"/>
      <c r="C7" s="922" t="s">
        <v>1400</v>
      </c>
      <c r="D7" s="2397" t="str">
        <f>IF('1A'!G29="","Enter Site Name on Form 1A",'1A'!G29)</f>
        <v>Project A-  4%</v>
      </c>
      <c r="E7" s="2397"/>
      <c r="F7" s="2397"/>
      <c r="G7" s="2397"/>
      <c r="H7" s="2397"/>
      <c r="I7" s="2397"/>
      <c r="J7" s="2397"/>
      <c r="K7" s="1123"/>
      <c r="L7" s="1123"/>
      <c r="M7" s="1123"/>
      <c r="N7" s="1123"/>
      <c r="O7" s="1198"/>
    </row>
    <row r="8" spans="2:15" ht="7.5" customHeight="1" thickBot="1" x14ac:dyDescent="0.3">
      <c r="B8" s="8"/>
      <c r="C8" s="5"/>
      <c r="D8" s="5"/>
      <c r="E8" s="247"/>
      <c r="F8" s="247"/>
      <c r="G8" s="5"/>
      <c r="H8" s="5"/>
      <c r="I8" s="5"/>
      <c r="J8" s="5"/>
      <c r="K8" s="5"/>
      <c r="L8" s="5"/>
      <c r="M8" s="5"/>
      <c r="N8" s="5"/>
      <c r="O8" s="1506"/>
    </row>
    <row r="9" spans="2:15" ht="45.75" thickBot="1" x14ac:dyDescent="0.3">
      <c r="B9" s="8"/>
      <c r="C9" s="1507" t="s">
        <v>353</v>
      </c>
      <c r="D9" s="1508" t="s">
        <v>658</v>
      </c>
      <c r="E9" s="1508" t="s">
        <v>354</v>
      </c>
      <c r="F9" s="1509" t="s">
        <v>1066</v>
      </c>
      <c r="G9" s="1510" t="s">
        <v>355</v>
      </c>
      <c r="H9" s="1508" t="s">
        <v>356</v>
      </c>
      <c r="I9" s="1510" t="s">
        <v>357</v>
      </c>
      <c r="J9" s="1510" t="s">
        <v>358</v>
      </c>
      <c r="K9" s="1508" t="s">
        <v>359</v>
      </c>
      <c r="L9" s="1510" t="s">
        <v>360</v>
      </c>
      <c r="M9" s="1510" t="s">
        <v>361</v>
      </c>
      <c r="N9" s="1511" t="s">
        <v>362</v>
      </c>
      <c r="O9" s="248"/>
    </row>
    <row r="10" spans="2:15" x14ac:dyDescent="0.25">
      <c r="B10" s="8"/>
      <c r="C10" s="1491">
        <v>0.6</v>
      </c>
      <c r="D10" s="1492">
        <v>12</v>
      </c>
      <c r="E10" s="1492" t="s">
        <v>39</v>
      </c>
      <c r="F10" s="1493">
        <v>428</v>
      </c>
      <c r="G10" s="1494">
        <v>907</v>
      </c>
      <c r="H10" s="1494">
        <v>35</v>
      </c>
      <c r="I10" s="1512">
        <f>G10+H10</f>
        <v>942</v>
      </c>
      <c r="J10" s="1494">
        <v>0</v>
      </c>
      <c r="K10" s="1512">
        <f>I10+J10</f>
        <v>942</v>
      </c>
      <c r="L10" s="1512">
        <f>D10*G10*12</f>
        <v>130608</v>
      </c>
      <c r="M10" s="1512">
        <f>D10*J10*12</f>
        <v>0</v>
      </c>
      <c r="N10" s="1513">
        <f>L10+M10</f>
        <v>130608</v>
      </c>
      <c r="O10" s="248"/>
    </row>
    <row r="11" spans="2:15" x14ac:dyDescent="0.25">
      <c r="B11" s="8"/>
      <c r="C11" s="1495">
        <v>0.6</v>
      </c>
      <c r="D11" s="1496">
        <v>34</v>
      </c>
      <c r="E11" s="1496" t="s">
        <v>1274</v>
      </c>
      <c r="F11" s="1496">
        <v>540</v>
      </c>
      <c r="G11" s="1497">
        <v>973</v>
      </c>
      <c r="H11" s="1497">
        <v>35</v>
      </c>
      <c r="I11" s="1514">
        <f t="shared" ref="I11:I22" si="0">G11+H11</f>
        <v>1008</v>
      </c>
      <c r="J11" s="1497">
        <v>0</v>
      </c>
      <c r="K11" s="1514">
        <f t="shared" ref="K11:K22" si="1">I11+J11</f>
        <v>1008</v>
      </c>
      <c r="L11" s="1514">
        <f t="shared" ref="L11:L22" si="2">D11*G11*12</f>
        <v>396984</v>
      </c>
      <c r="M11" s="1514">
        <f t="shared" ref="M11:M22" si="3">D11*J11*12</f>
        <v>0</v>
      </c>
      <c r="N11" s="1515">
        <f t="shared" ref="N11:N22" si="4">L11+M11</f>
        <v>396984</v>
      </c>
      <c r="O11" s="248"/>
    </row>
    <row r="12" spans="2:15" x14ac:dyDescent="0.25">
      <c r="B12" s="8"/>
      <c r="C12" s="1495">
        <v>0.6</v>
      </c>
      <c r="D12" s="1496">
        <v>21</v>
      </c>
      <c r="E12" s="1496" t="s">
        <v>1275</v>
      </c>
      <c r="F12" s="1496">
        <v>807</v>
      </c>
      <c r="G12" s="1497">
        <v>1145</v>
      </c>
      <c r="H12" s="1497">
        <v>65</v>
      </c>
      <c r="I12" s="1514">
        <f t="shared" si="0"/>
        <v>1210</v>
      </c>
      <c r="J12" s="1497">
        <v>0</v>
      </c>
      <c r="K12" s="1514">
        <f t="shared" si="1"/>
        <v>1210</v>
      </c>
      <c r="L12" s="1514">
        <f t="shared" si="2"/>
        <v>288540</v>
      </c>
      <c r="M12" s="1514">
        <f t="shared" si="3"/>
        <v>0</v>
      </c>
      <c r="N12" s="1515">
        <f t="shared" si="4"/>
        <v>288540</v>
      </c>
      <c r="O12" s="248"/>
    </row>
    <row r="13" spans="2:15" x14ac:dyDescent="0.25">
      <c r="B13" s="8"/>
      <c r="C13" s="1495">
        <v>0.6</v>
      </c>
      <c r="D13" s="1496">
        <v>12</v>
      </c>
      <c r="E13" s="1496" t="s">
        <v>1276</v>
      </c>
      <c r="F13" s="1496">
        <v>1077</v>
      </c>
      <c r="G13" s="1497">
        <v>1303</v>
      </c>
      <c r="H13" s="1497">
        <v>95</v>
      </c>
      <c r="I13" s="1514">
        <f t="shared" si="0"/>
        <v>1398</v>
      </c>
      <c r="J13" s="1497">
        <v>0</v>
      </c>
      <c r="K13" s="1514">
        <f t="shared" si="1"/>
        <v>1398</v>
      </c>
      <c r="L13" s="1514">
        <f t="shared" si="2"/>
        <v>187632</v>
      </c>
      <c r="M13" s="1514">
        <f t="shared" si="3"/>
        <v>0</v>
      </c>
      <c r="N13" s="1515">
        <f t="shared" si="4"/>
        <v>187632</v>
      </c>
      <c r="O13" s="1506"/>
    </row>
    <row r="14" spans="2:15" x14ac:dyDescent="0.25">
      <c r="B14" s="8"/>
      <c r="C14" s="1495"/>
      <c r="D14" s="1496"/>
      <c r="E14" s="1496"/>
      <c r="F14" s="1496"/>
      <c r="G14" s="1497">
        <v>0</v>
      </c>
      <c r="H14" s="1497">
        <v>0</v>
      </c>
      <c r="I14" s="1514">
        <f t="shared" si="0"/>
        <v>0</v>
      </c>
      <c r="J14" s="1497">
        <v>0</v>
      </c>
      <c r="K14" s="1514">
        <f t="shared" si="1"/>
        <v>0</v>
      </c>
      <c r="L14" s="1514">
        <f t="shared" si="2"/>
        <v>0</v>
      </c>
      <c r="M14" s="1514">
        <f t="shared" si="3"/>
        <v>0</v>
      </c>
      <c r="N14" s="1515">
        <f t="shared" si="4"/>
        <v>0</v>
      </c>
      <c r="O14" s="1506"/>
    </row>
    <row r="15" spans="2:15" x14ac:dyDescent="0.25">
      <c r="B15" s="8"/>
      <c r="C15" s="1495"/>
      <c r="D15" s="1496"/>
      <c r="E15" s="1496"/>
      <c r="F15" s="1496"/>
      <c r="G15" s="1497">
        <v>0</v>
      </c>
      <c r="H15" s="1497">
        <v>0</v>
      </c>
      <c r="I15" s="1514">
        <f t="shared" si="0"/>
        <v>0</v>
      </c>
      <c r="J15" s="1497">
        <v>0</v>
      </c>
      <c r="K15" s="1514">
        <f t="shared" si="1"/>
        <v>0</v>
      </c>
      <c r="L15" s="1514">
        <f t="shared" si="2"/>
        <v>0</v>
      </c>
      <c r="M15" s="1514">
        <f t="shared" si="3"/>
        <v>0</v>
      </c>
      <c r="N15" s="1515">
        <f t="shared" si="4"/>
        <v>0</v>
      </c>
      <c r="O15" s="1506"/>
    </row>
    <row r="16" spans="2:15" x14ac:dyDescent="0.25">
      <c r="B16" s="8"/>
      <c r="C16" s="1495"/>
      <c r="D16" s="1496"/>
      <c r="E16" s="1496"/>
      <c r="F16" s="1496"/>
      <c r="G16" s="1497">
        <v>0</v>
      </c>
      <c r="H16" s="1497">
        <v>0</v>
      </c>
      <c r="I16" s="1514">
        <f t="shared" si="0"/>
        <v>0</v>
      </c>
      <c r="J16" s="1497">
        <v>0</v>
      </c>
      <c r="K16" s="1514">
        <f t="shared" si="1"/>
        <v>0</v>
      </c>
      <c r="L16" s="1514">
        <f t="shared" si="2"/>
        <v>0</v>
      </c>
      <c r="M16" s="1514">
        <f t="shared" si="3"/>
        <v>0</v>
      </c>
      <c r="N16" s="1515">
        <f t="shared" si="4"/>
        <v>0</v>
      </c>
      <c r="O16" s="1506"/>
    </row>
    <row r="17" spans="2:15" x14ac:dyDescent="0.25">
      <c r="B17" s="8"/>
      <c r="C17" s="1495"/>
      <c r="D17" s="1496"/>
      <c r="E17" s="1496"/>
      <c r="F17" s="1496"/>
      <c r="G17" s="1497">
        <v>0</v>
      </c>
      <c r="H17" s="1497">
        <v>0</v>
      </c>
      <c r="I17" s="1514">
        <f t="shared" si="0"/>
        <v>0</v>
      </c>
      <c r="J17" s="1497">
        <v>0</v>
      </c>
      <c r="K17" s="1514">
        <f t="shared" si="1"/>
        <v>0</v>
      </c>
      <c r="L17" s="1514">
        <f t="shared" si="2"/>
        <v>0</v>
      </c>
      <c r="M17" s="1514">
        <f t="shared" si="3"/>
        <v>0</v>
      </c>
      <c r="N17" s="1515">
        <f t="shared" si="4"/>
        <v>0</v>
      </c>
      <c r="O17" s="1506"/>
    </row>
    <row r="18" spans="2:15" x14ac:dyDescent="0.25">
      <c r="B18" s="8"/>
      <c r="C18" s="1495"/>
      <c r="D18" s="1496"/>
      <c r="E18" s="1496"/>
      <c r="F18" s="1496"/>
      <c r="G18" s="1497">
        <v>0</v>
      </c>
      <c r="H18" s="1497">
        <v>0</v>
      </c>
      <c r="I18" s="1514">
        <f t="shared" si="0"/>
        <v>0</v>
      </c>
      <c r="J18" s="1497">
        <v>0</v>
      </c>
      <c r="K18" s="1514">
        <f t="shared" si="1"/>
        <v>0</v>
      </c>
      <c r="L18" s="1514">
        <f t="shared" si="2"/>
        <v>0</v>
      </c>
      <c r="M18" s="1514">
        <f t="shared" si="3"/>
        <v>0</v>
      </c>
      <c r="N18" s="1515">
        <f t="shared" si="4"/>
        <v>0</v>
      </c>
      <c r="O18" s="1506"/>
    </row>
    <row r="19" spans="2:15" x14ac:dyDescent="0.25">
      <c r="B19" s="8"/>
      <c r="C19" s="1495"/>
      <c r="D19" s="1496"/>
      <c r="E19" s="1496"/>
      <c r="F19" s="1496"/>
      <c r="G19" s="1497">
        <v>0</v>
      </c>
      <c r="H19" s="1497">
        <v>0</v>
      </c>
      <c r="I19" s="1514">
        <f t="shared" si="0"/>
        <v>0</v>
      </c>
      <c r="J19" s="1497">
        <v>0</v>
      </c>
      <c r="K19" s="1514">
        <f t="shared" si="1"/>
        <v>0</v>
      </c>
      <c r="L19" s="1514">
        <f t="shared" si="2"/>
        <v>0</v>
      </c>
      <c r="M19" s="1514">
        <f t="shared" si="3"/>
        <v>0</v>
      </c>
      <c r="N19" s="1515">
        <f t="shared" si="4"/>
        <v>0</v>
      </c>
      <c r="O19" s="248"/>
    </row>
    <row r="20" spans="2:15" x14ac:dyDescent="0.25">
      <c r="B20" s="8"/>
      <c r="C20" s="1495"/>
      <c r="D20" s="1496"/>
      <c r="E20" s="1496"/>
      <c r="F20" s="1496"/>
      <c r="G20" s="1497">
        <v>0</v>
      </c>
      <c r="H20" s="1497">
        <v>0</v>
      </c>
      <c r="I20" s="1514">
        <f t="shared" si="0"/>
        <v>0</v>
      </c>
      <c r="J20" s="1497">
        <v>0</v>
      </c>
      <c r="K20" s="1514">
        <f t="shared" si="1"/>
        <v>0</v>
      </c>
      <c r="L20" s="1514">
        <f t="shared" si="2"/>
        <v>0</v>
      </c>
      <c r="M20" s="1514">
        <f t="shared" si="3"/>
        <v>0</v>
      </c>
      <c r="N20" s="1515">
        <f t="shared" si="4"/>
        <v>0</v>
      </c>
      <c r="O20" s="248"/>
    </row>
    <row r="21" spans="2:15" x14ac:dyDescent="0.25">
      <c r="B21" s="8"/>
      <c r="C21" s="1495"/>
      <c r="D21" s="1496"/>
      <c r="E21" s="1496"/>
      <c r="F21" s="1496"/>
      <c r="G21" s="1497">
        <v>0</v>
      </c>
      <c r="H21" s="1497">
        <v>0</v>
      </c>
      <c r="I21" s="1514">
        <f t="shared" si="0"/>
        <v>0</v>
      </c>
      <c r="J21" s="1497">
        <v>0</v>
      </c>
      <c r="K21" s="1514">
        <f t="shared" si="1"/>
        <v>0</v>
      </c>
      <c r="L21" s="1514">
        <f t="shared" si="2"/>
        <v>0</v>
      </c>
      <c r="M21" s="1514">
        <f t="shared" si="3"/>
        <v>0</v>
      </c>
      <c r="N21" s="1515">
        <f t="shared" si="4"/>
        <v>0</v>
      </c>
      <c r="O21" s="248"/>
    </row>
    <row r="22" spans="2:15" x14ac:dyDescent="0.25">
      <c r="B22" s="8"/>
      <c r="C22" s="1495"/>
      <c r="D22" s="1496"/>
      <c r="E22" s="1496"/>
      <c r="F22" s="1496"/>
      <c r="G22" s="1497">
        <v>0</v>
      </c>
      <c r="H22" s="1497">
        <v>0</v>
      </c>
      <c r="I22" s="1514">
        <f t="shared" si="0"/>
        <v>0</v>
      </c>
      <c r="J22" s="1497">
        <v>0</v>
      </c>
      <c r="K22" s="1514">
        <f t="shared" si="1"/>
        <v>0</v>
      </c>
      <c r="L22" s="1514">
        <f t="shared" si="2"/>
        <v>0</v>
      </c>
      <c r="M22" s="1514">
        <f t="shared" si="3"/>
        <v>0</v>
      </c>
      <c r="N22" s="1515">
        <f t="shared" si="4"/>
        <v>0</v>
      </c>
      <c r="O22" s="248"/>
    </row>
    <row r="23" spans="2:15" ht="24" x14ac:dyDescent="0.25">
      <c r="B23" s="8"/>
      <c r="C23" s="1516" t="s">
        <v>363</v>
      </c>
      <c r="D23" s="1498">
        <v>1</v>
      </c>
      <c r="E23" s="1496" t="s">
        <v>1274</v>
      </c>
      <c r="F23" s="1498">
        <v>540</v>
      </c>
      <c r="G23" s="1517"/>
      <c r="H23" s="1518"/>
      <c r="I23" s="1518"/>
      <c r="J23" s="1518"/>
      <c r="K23" s="1518"/>
      <c r="L23" s="1518"/>
      <c r="M23" s="1518"/>
      <c r="N23" s="1519"/>
      <c r="O23" s="248"/>
    </row>
    <row r="24" spans="2:15" ht="24.75" thickBot="1" x14ac:dyDescent="0.3">
      <c r="B24" s="8"/>
      <c r="C24" s="1520" t="s">
        <v>659</v>
      </c>
      <c r="D24" s="1499"/>
      <c r="E24" s="1500"/>
      <c r="F24" s="1501"/>
      <c r="G24" s="1502">
        <v>0</v>
      </c>
      <c r="H24" s="1502">
        <v>0</v>
      </c>
      <c r="I24" s="1521">
        <f>G24+H24</f>
        <v>0</v>
      </c>
      <c r="J24" s="1502">
        <v>0</v>
      </c>
      <c r="K24" s="1521">
        <f>I24+J24</f>
        <v>0</v>
      </c>
      <c r="L24" s="1521">
        <f>D24*G24*12</f>
        <v>0</v>
      </c>
      <c r="M24" s="1521">
        <f>D24*J24*12</f>
        <v>0</v>
      </c>
      <c r="N24" s="1522">
        <f>L24+M24</f>
        <v>0</v>
      </c>
      <c r="O24" s="248"/>
    </row>
    <row r="25" spans="2:15" ht="16.5" thickTop="1" thickBot="1" x14ac:dyDescent="0.3">
      <c r="B25" s="8"/>
      <c r="C25" s="1523" t="s">
        <v>96</v>
      </c>
      <c r="D25" s="1524">
        <f>SUM(D10:D24)</f>
        <v>80</v>
      </c>
      <c r="E25" s="1525"/>
      <c r="F25" s="1526"/>
      <c r="G25" s="1527"/>
      <c r="H25" s="1527"/>
      <c r="I25" s="1528"/>
      <c r="J25" s="1528"/>
      <c r="K25" s="1528"/>
      <c r="L25" s="1529">
        <f>SUM(L10:L22)+L24</f>
        <v>1003764</v>
      </c>
      <c r="M25" s="1530">
        <f>SUM(M10:M22)+M24</f>
        <v>0</v>
      </c>
      <c r="N25" s="1531">
        <f>SUM(N10:N22)+N24</f>
        <v>1003764</v>
      </c>
      <c r="O25" s="248"/>
    </row>
    <row r="26" spans="2:15" x14ac:dyDescent="0.25">
      <c r="B26" s="8"/>
      <c r="C26" s="1532"/>
      <c r="D26" s="1533"/>
      <c r="E26" s="1534"/>
      <c r="F26" s="1534"/>
      <c r="G26" s="1534"/>
      <c r="H26" s="1534"/>
      <c r="I26" s="1534"/>
      <c r="J26" s="1534"/>
      <c r="K26" s="1534"/>
      <c r="L26" s="1535"/>
      <c r="M26" s="1536" t="str">
        <f>IF(M25&lt;&gt;'8B - 4%'!H20,"WARNING: Gross Rent Subsidy does not Match Rent Subsidy Sources (Form 8B(a))","")</f>
        <v/>
      </c>
      <c r="N26" s="1535"/>
      <c r="O26" s="248"/>
    </row>
    <row r="27" spans="2:15" ht="9" customHeight="1" thickBot="1" x14ac:dyDescent="0.3">
      <c r="B27" s="9"/>
      <c r="C27" s="1537"/>
      <c r="D27" s="1537"/>
      <c r="E27" s="1537"/>
      <c r="F27" s="1537"/>
      <c r="G27" s="1537"/>
      <c r="H27" s="1537"/>
      <c r="I27" s="1537"/>
      <c r="J27" s="1537"/>
      <c r="K27" s="1537"/>
      <c r="L27" s="1537"/>
      <c r="M27" s="1538"/>
      <c r="N27" s="1537"/>
      <c r="O27" s="11"/>
    </row>
  </sheetData>
  <sheetProtection password="9F6B" sheet="1" objects="1" scenarios="1" formatCells="0" formatColumns="0" formatRows="0" insertRows="0"/>
  <mergeCells count="3">
    <mergeCell ref="C3:N3"/>
    <mergeCell ref="D5:J5"/>
    <mergeCell ref="D7:J7"/>
  </mergeCells>
  <dataValidations count="2">
    <dataValidation type="list" allowBlank="1" showInputMessage="1" showErrorMessage="1" sqref="C10:C22">
      <formula1>"25%,30%,35%,40%,45%,50%,55%,60%,65%,80%"</formula1>
    </dataValidation>
    <dataValidation type="list" allowBlank="1" showInputMessage="1" showErrorMessage="1" sqref="E10:E24">
      <formula1>"Beds,Studio,SRO,1 BR,2 BR,3 BR,4 BR,5+ BR"</formula1>
    </dataValidation>
  </dataValidations>
  <pageMargins left="0.7" right="0.7" top="0.75" bottom="0.75" header="0.3" footer="0.3"/>
  <pageSetup scale="97" orientation="landscape" r:id="rId1"/>
  <headerFooter>
    <oddFooter>&amp;LForm 8A(a)
Proposed Rents and AMIs Served&amp;CCFA Forms&amp;REdition: 2015
Version: 1.1</oddFooter>
  </headerFooter>
  <extLst>
    <ext xmlns:x14="http://schemas.microsoft.com/office/spreadsheetml/2009/9/main" uri="{78C0D931-6437-407d-A8EE-F0AAD7539E65}">
      <x14:conditionalFormattings>
        <x14:conditionalFormatting xmlns:xm="http://schemas.microsoft.com/office/excel/2006/main">
          <x14:cfRule type="expression" priority="1" id="{1581DC51-1810-4ADE-8BDC-C3545D7711A6}">
            <xm:f>$M$25&lt;&gt;'8B - 4%'!$H$20</xm:f>
            <x14:dxf>
              <font>
                <color rgb="FF990000"/>
              </font>
              <fill>
                <patternFill>
                  <bgColor theme="5" tint="0.79998168889431442"/>
                </patternFill>
              </fill>
            </x14:dxf>
          </x14:cfRule>
          <xm:sqref>M25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39"/>
  <sheetViews>
    <sheetView showGridLines="0" zoomScaleNormal="100" workbookViewId="0">
      <selection activeCell="Q27" sqref="Q27"/>
    </sheetView>
  </sheetViews>
  <sheetFormatPr defaultRowHeight="15" x14ac:dyDescent="0.25"/>
  <cols>
    <col min="1" max="2" width="1.7109375" style="839" customWidth="1"/>
    <col min="3" max="3" width="14.28515625" style="839" customWidth="1"/>
    <col min="4" max="4" width="28.5703125" style="839" customWidth="1"/>
    <col min="5" max="5" width="9.140625" style="839"/>
    <col min="6" max="8" width="17.140625" style="839" customWidth="1"/>
    <col min="9" max="9" width="20" style="839" customWidth="1"/>
    <col min="10" max="10" width="1.7109375" style="839" customWidth="1"/>
    <col min="11" max="16384" width="9.140625" style="839"/>
  </cols>
  <sheetData>
    <row r="5" spans="2:10" ht="9" customHeight="1" thickBot="1" x14ac:dyDescent="0.3"/>
    <row r="6" spans="2:10" ht="9" customHeight="1" x14ac:dyDescent="0.3">
      <c r="B6" s="1285"/>
      <c r="C6" s="1286"/>
      <c r="D6" s="1286"/>
      <c r="E6" s="1286"/>
      <c r="F6" s="1286"/>
      <c r="G6" s="1286"/>
      <c r="H6" s="1286"/>
      <c r="I6" s="1286"/>
      <c r="J6" s="1287"/>
    </row>
    <row r="7" spans="2:10" ht="18.75" x14ac:dyDescent="0.3">
      <c r="B7" s="1288"/>
      <c r="C7" s="2225" t="s">
        <v>1419</v>
      </c>
      <c r="D7" s="2225"/>
      <c r="E7" s="2225"/>
      <c r="F7" s="2225"/>
      <c r="G7" s="2225"/>
      <c r="H7" s="2225"/>
      <c r="I7" s="2225"/>
      <c r="J7" s="1194"/>
    </row>
    <row r="8" spans="2:10" ht="18.75" x14ac:dyDescent="0.3">
      <c r="B8" s="1288"/>
      <c r="C8" s="1994"/>
      <c r="D8" s="1994"/>
      <c r="E8" s="1994"/>
      <c r="F8" s="1994"/>
      <c r="G8" s="1994"/>
      <c r="H8" s="1994"/>
      <c r="I8" s="1994"/>
      <c r="J8" s="1194"/>
    </row>
    <row r="9" spans="2:10" x14ac:dyDescent="0.25">
      <c r="B9" s="356"/>
      <c r="C9" s="1289" t="s">
        <v>59</v>
      </c>
      <c r="D9" s="1290" t="str">
        <f>IF('1A'!G5="","Enter Project Name on Form 1A",'1A'!G5)</f>
        <v>University District Apartments</v>
      </c>
      <c r="E9" s="1291"/>
      <c r="F9" s="1290"/>
      <c r="G9" s="1290"/>
      <c r="H9" s="942"/>
      <c r="I9" s="942"/>
      <c r="J9" s="944"/>
    </row>
    <row r="10" spans="2:10" ht="3.75" customHeight="1" x14ac:dyDescent="0.25">
      <c r="B10" s="356"/>
      <c r="C10" s="1289"/>
      <c r="D10" s="822"/>
      <c r="E10" s="2002"/>
      <c r="F10" s="822"/>
      <c r="G10" s="822"/>
      <c r="H10" s="942"/>
      <c r="I10" s="942"/>
      <c r="J10" s="944"/>
    </row>
    <row r="11" spans="2:10" x14ac:dyDescent="0.25">
      <c r="B11" s="356"/>
      <c r="C11" s="1289" t="s">
        <v>1400</v>
      </c>
      <c r="D11" s="1290" t="str">
        <f>IF('1A'!G29="","Enter Site Name on Form 1A",'1A'!G29)</f>
        <v>Project A-  4%</v>
      </c>
      <c r="E11" s="1291"/>
      <c r="F11" s="1290"/>
      <c r="G11" s="1290"/>
      <c r="H11" s="942"/>
      <c r="I11" s="942"/>
      <c r="J11" s="944"/>
    </row>
    <row r="12" spans="2:10" ht="7.5" customHeight="1" x14ac:dyDescent="0.25">
      <c r="B12" s="356"/>
      <c r="C12" s="822"/>
      <c r="D12" s="822"/>
      <c r="E12" s="822"/>
      <c r="F12" s="942"/>
      <c r="G12" s="942"/>
      <c r="H12" s="942"/>
      <c r="I12" s="942"/>
      <c r="J12" s="944"/>
    </row>
    <row r="13" spans="2:10" ht="15.75" thickBot="1" x14ac:dyDescent="0.3">
      <c r="B13" s="356"/>
      <c r="C13" s="1292" t="s">
        <v>364</v>
      </c>
      <c r="D13" s="1292"/>
      <c r="E13" s="822"/>
      <c r="F13" s="942"/>
      <c r="G13" s="942"/>
      <c r="H13" s="942"/>
      <c r="I13" s="942"/>
      <c r="J13" s="944"/>
    </row>
    <row r="14" spans="2:10" ht="15" customHeight="1" x14ac:dyDescent="0.25">
      <c r="B14" s="356"/>
      <c r="C14" s="2398" t="s">
        <v>313</v>
      </c>
      <c r="D14" s="2399"/>
      <c r="E14" s="2400"/>
      <c r="F14" s="2404" t="s">
        <v>365</v>
      </c>
      <c r="G14" s="2406" t="s">
        <v>366</v>
      </c>
      <c r="H14" s="2404" t="s">
        <v>367</v>
      </c>
      <c r="I14" s="2404" t="s">
        <v>368</v>
      </c>
      <c r="J14" s="944"/>
    </row>
    <row r="15" spans="2:10" ht="15.75" thickBot="1" x14ac:dyDescent="0.3">
      <c r="B15" s="356"/>
      <c r="C15" s="2401"/>
      <c r="D15" s="2402"/>
      <c r="E15" s="2403"/>
      <c r="F15" s="2405"/>
      <c r="G15" s="2407"/>
      <c r="H15" s="2405"/>
      <c r="I15" s="2405"/>
      <c r="J15" s="944"/>
    </row>
    <row r="16" spans="2:10" x14ac:dyDescent="0.25">
      <c r="B16" s="356"/>
      <c r="C16" s="2411" t="s">
        <v>1431</v>
      </c>
      <c r="D16" s="2412"/>
      <c r="E16" s="2413"/>
      <c r="F16" s="1274">
        <v>0</v>
      </c>
      <c r="G16" s="1274">
        <v>0</v>
      </c>
      <c r="H16" s="366">
        <f>SUM(F16:G16)</f>
        <v>0</v>
      </c>
      <c r="I16" s="1762"/>
      <c r="J16" s="944"/>
    </row>
    <row r="17" spans="2:10" x14ac:dyDescent="0.25">
      <c r="B17" s="356"/>
      <c r="C17" s="2408"/>
      <c r="D17" s="2409"/>
      <c r="E17" s="2410"/>
      <c r="F17" s="1276">
        <v>0</v>
      </c>
      <c r="G17" s="1276">
        <v>0</v>
      </c>
      <c r="H17" s="367">
        <f>SUM(F17:G17)</f>
        <v>0</v>
      </c>
      <c r="I17" s="1763"/>
      <c r="J17" s="944"/>
    </row>
    <row r="18" spans="2:10" x14ac:dyDescent="0.25">
      <c r="B18" s="356"/>
      <c r="C18" s="2408"/>
      <c r="D18" s="2409"/>
      <c r="E18" s="2410"/>
      <c r="F18" s="1276">
        <v>0</v>
      </c>
      <c r="G18" s="1276">
        <v>0</v>
      </c>
      <c r="H18" s="367">
        <f>SUM(F18:G18)</f>
        <v>0</v>
      </c>
      <c r="I18" s="1763"/>
      <c r="J18" s="944"/>
    </row>
    <row r="19" spans="2:10" ht="15.75" thickBot="1" x14ac:dyDescent="0.3">
      <c r="B19" s="356"/>
      <c r="C19" s="2414"/>
      <c r="D19" s="2415"/>
      <c r="E19" s="2416"/>
      <c r="F19" s="1278">
        <v>0</v>
      </c>
      <c r="G19" s="1278">
        <v>0</v>
      </c>
      <c r="H19" s="368">
        <f>SUM(F19:G19)</f>
        <v>0</v>
      </c>
      <c r="I19" s="1764"/>
      <c r="J19" s="944"/>
    </row>
    <row r="20" spans="2:10" ht="16.5" thickTop="1" thickBot="1" x14ac:dyDescent="0.3">
      <c r="B20" s="356"/>
      <c r="C20" s="2417" t="s">
        <v>369</v>
      </c>
      <c r="D20" s="2418"/>
      <c r="E20" s="2419"/>
      <c r="F20" s="362">
        <f>SUM(F16:F19)</f>
        <v>0</v>
      </c>
      <c r="G20" s="362">
        <f>SUM(G16:G19)</f>
        <v>0</v>
      </c>
      <c r="H20" s="2061">
        <f>SUM(H16:H19)</f>
        <v>0</v>
      </c>
      <c r="I20" s="1765"/>
      <c r="J20" s="944"/>
    </row>
    <row r="21" spans="2:10" x14ac:dyDescent="0.25">
      <c r="B21" s="356"/>
      <c r="C21" s="822"/>
      <c r="D21" s="822"/>
      <c r="E21" s="822"/>
      <c r="F21" s="942"/>
      <c r="G21" s="942"/>
      <c r="H21" s="357" t="s">
        <v>34</v>
      </c>
      <c r="I21" s="942"/>
      <c r="J21" s="944"/>
    </row>
    <row r="22" spans="2:10" ht="15.75" thickBot="1" x14ac:dyDescent="0.3">
      <c r="B22" s="356"/>
      <c r="C22" s="1292" t="s">
        <v>370</v>
      </c>
      <c r="D22" s="1292"/>
      <c r="E22" s="822"/>
      <c r="F22" s="942"/>
      <c r="G22" s="942"/>
      <c r="H22" s="942"/>
      <c r="I22" s="942"/>
      <c r="J22" s="944"/>
    </row>
    <row r="23" spans="2:10" x14ac:dyDescent="0.25">
      <c r="B23" s="356"/>
      <c r="C23" s="2398" t="s">
        <v>313</v>
      </c>
      <c r="D23" s="2420"/>
      <c r="E23" s="2400"/>
      <c r="F23" s="2423" t="s">
        <v>365</v>
      </c>
      <c r="G23" s="2423" t="s">
        <v>366</v>
      </c>
      <c r="H23" s="2423" t="s">
        <v>367</v>
      </c>
      <c r="I23" s="2423" t="s">
        <v>368</v>
      </c>
      <c r="J23" s="944"/>
    </row>
    <row r="24" spans="2:10" ht="15.75" thickBot="1" x14ac:dyDescent="0.3">
      <c r="B24" s="356"/>
      <c r="C24" s="2401"/>
      <c r="D24" s="2421"/>
      <c r="E24" s="2422"/>
      <c r="F24" s="2405"/>
      <c r="G24" s="2405"/>
      <c r="H24" s="2405"/>
      <c r="I24" s="2405"/>
      <c r="J24" s="944"/>
    </row>
    <row r="25" spans="2:10" x14ac:dyDescent="0.25">
      <c r="B25" s="356"/>
      <c r="C25" s="2411"/>
      <c r="D25" s="2412"/>
      <c r="E25" s="2413"/>
      <c r="F25" s="1280">
        <v>0</v>
      </c>
      <c r="G25" s="1280">
        <v>0</v>
      </c>
      <c r="H25" s="369">
        <f>SUM(F25:G25)</f>
        <v>0</v>
      </c>
      <c r="I25" s="1275"/>
      <c r="J25" s="944"/>
    </row>
    <row r="26" spans="2:10" x14ac:dyDescent="0.25">
      <c r="B26" s="356"/>
      <c r="C26" s="2408"/>
      <c r="D26" s="2409"/>
      <c r="E26" s="2410"/>
      <c r="F26" s="1281">
        <v>0</v>
      </c>
      <c r="G26" s="1281">
        <v>0</v>
      </c>
      <c r="H26" s="370">
        <f>SUM(F26:G26)</f>
        <v>0</v>
      </c>
      <c r="I26" s="1277"/>
      <c r="J26" s="944"/>
    </row>
    <row r="27" spans="2:10" x14ac:dyDescent="0.25">
      <c r="B27" s="356"/>
      <c r="C27" s="2408"/>
      <c r="D27" s="2409"/>
      <c r="E27" s="2410"/>
      <c r="F27" s="1281">
        <v>0</v>
      </c>
      <c r="G27" s="1281">
        <v>0</v>
      </c>
      <c r="H27" s="370">
        <f>SUM(F27:G27)</f>
        <v>0</v>
      </c>
      <c r="I27" s="1277"/>
      <c r="J27" s="944"/>
    </row>
    <row r="28" spans="2:10" x14ac:dyDescent="0.25">
      <c r="B28" s="356"/>
      <c r="C28" s="2408"/>
      <c r="D28" s="2409"/>
      <c r="E28" s="2410"/>
      <c r="F28" s="1281">
        <v>0</v>
      </c>
      <c r="G28" s="1281">
        <v>0</v>
      </c>
      <c r="H28" s="370">
        <f>SUM(F28:G28)</f>
        <v>0</v>
      </c>
      <c r="I28" s="1277"/>
      <c r="J28" s="944"/>
    </row>
    <row r="29" spans="2:10" ht="15.75" thickBot="1" x14ac:dyDescent="0.3">
      <c r="B29" s="356"/>
      <c r="C29" s="2414"/>
      <c r="D29" s="2415"/>
      <c r="E29" s="2416"/>
      <c r="F29" s="1282">
        <v>0</v>
      </c>
      <c r="G29" s="1282">
        <v>0</v>
      </c>
      <c r="H29" s="371">
        <f>SUM(F29:G29)</f>
        <v>0</v>
      </c>
      <c r="I29" s="1279"/>
      <c r="J29" s="944"/>
    </row>
    <row r="30" spans="2:10" ht="16.5" thickTop="1" thickBot="1" x14ac:dyDescent="0.3">
      <c r="B30" s="356"/>
      <c r="C30" s="2417" t="s">
        <v>660</v>
      </c>
      <c r="D30" s="2418"/>
      <c r="E30" s="2419"/>
      <c r="F30" s="363">
        <f>SUM(F25:F29)</f>
        <v>0</v>
      </c>
      <c r="G30" s="363">
        <f>SUM(G25:G29)</f>
        <v>0</v>
      </c>
      <c r="H30" s="364">
        <f>SUM(H25:H29)</f>
        <v>0</v>
      </c>
      <c r="I30" s="1283"/>
      <c r="J30" s="944"/>
    </row>
    <row r="31" spans="2:10" x14ac:dyDescent="0.25">
      <c r="B31" s="356"/>
      <c r="C31" s="822"/>
      <c r="D31" s="822"/>
      <c r="E31" s="822"/>
      <c r="F31" s="942"/>
      <c r="G31" s="942"/>
      <c r="H31" s="942"/>
      <c r="I31" s="942"/>
      <c r="J31" s="944"/>
    </row>
    <row r="32" spans="2:10" ht="15.75" thickBot="1" x14ac:dyDescent="0.3">
      <c r="B32" s="356"/>
      <c r="C32" s="1292" t="s">
        <v>372</v>
      </c>
      <c r="D32" s="1292"/>
      <c r="E32" s="822"/>
      <c r="F32" s="942"/>
      <c r="G32" s="942"/>
      <c r="H32" s="942"/>
      <c r="I32" s="942"/>
      <c r="J32" s="944"/>
    </row>
    <row r="33" spans="2:10" x14ac:dyDescent="0.25">
      <c r="B33" s="356"/>
      <c r="C33" s="2398" t="s">
        <v>313</v>
      </c>
      <c r="D33" s="2420"/>
      <c r="E33" s="2400"/>
      <c r="F33" s="2423" t="s">
        <v>365</v>
      </c>
      <c r="G33" s="2423" t="s">
        <v>366</v>
      </c>
      <c r="H33" s="2423" t="s">
        <v>367</v>
      </c>
      <c r="I33" s="2423" t="s">
        <v>368</v>
      </c>
      <c r="J33" s="944"/>
    </row>
    <row r="34" spans="2:10" ht="15.75" thickBot="1" x14ac:dyDescent="0.3">
      <c r="B34" s="356"/>
      <c r="C34" s="2401"/>
      <c r="D34" s="2421"/>
      <c r="E34" s="2422"/>
      <c r="F34" s="2405"/>
      <c r="G34" s="2405"/>
      <c r="H34" s="2405"/>
      <c r="I34" s="2405"/>
      <c r="J34" s="944"/>
    </row>
    <row r="35" spans="2:10" x14ac:dyDescent="0.25">
      <c r="B35" s="356"/>
      <c r="C35" s="2424"/>
      <c r="D35" s="2425"/>
      <c r="E35" s="2426"/>
      <c r="F35" s="1274">
        <v>0</v>
      </c>
      <c r="G35" s="1274">
        <v>0</v>
      </c>
      <c r="H35" s="366">
        <f>SUM(F35:G35)</f>
        <v>0</v>
      </c>
      <c r="I35" s="1275"/>
      <c r="J35" s="944"/>
    </row>
    <row r="36" spans="2:10" x14ac:dyDescent="0.25">
      <c r="B36" s="356"/>
      <c r="C36" s="2427"/>
      <c r="D36" s="2428"/>
      <c r="E36" s="2429"/>
      <c r="F36" s="1276">
        <v>0</v>
      </c>
      <c r="G36" s="1276">
        <v>0</v>
      </c>
      <c r="H36" s="367">
        <f>SUM(F36:G36)</f>
        <v>0</v>
      </c>
      <c r="I36" s="1277"/>
      <c r="J36" s="944"/>
    </row>
    <row r="37" spans="2:10" ht="15.75" thickBot="1" x14ac:dyDescent="0.3">
      <c r="B37" s="356"/>
      <c r="C37" s="2430"/>
      <c r="D37" s="2431"/>
      <c r="E37" s="2432"/>
      <c r="F37" s="1278">
        <v>0</v>
      </c>
      <c r="G37" s="1278">
        <v>0</v>
      </c>
      <c r="H37" s="368">
        <f>SUM(F37:G37)</f>
        <v>0</v>
      </c>
      <c r="I37" s="1279"/>
      <c r="J37" s="944"/>
    </row>
    <row r="38" spans="2:10" ht="16.5" thickTop="1" thickBot="1" x14ac:dyDescent="0.3">
      <c r="B38" s="356"/>
      <c r="C38" s="2417" t="s">
        <v>661</v>
      </c>
      <c r="D38" s="2418"/>
      <c r="E38" s="2419"/>
      <c r="F38" s="362">
        <f>SUM(F35:F37)</f>
        <v>0</v>
      </c>
      <c r="G38" s="362">
        <f>SUM(G35:G37)</f>
        <v>0</v>
      </c>
      <c r="H38" s="2061">
        <f>SUM(H35:H37)</f>
        <v>0</v>
      </c>
      <c r="I38" s="1284"/>
      <c r="J38" s="944"/>
    </row>
    <row r="39" spans="2:10" ht="9" customHeight="1" thickBot="1" x14ac:dyDescent="0.3">
      <c r="B39" s="358"/>
      <c r="C39" s="359"/>
      <c r="D39" s="359"/>
      <c r="E39" s="359"/>
      <c r="F39" s="360"/>
      <c r="G39" s="360"/>
      <c r="H39" s="360"/>
      <c r="I39" s="360"/>
      <c r="J39" s="361"/>
    </row>
  </sheetData>
  <sheetProtection password="9F6B" sheet="1" objects="1" scenarios="1" formatCells="0" formatColumns="0" formatRows="0" insertRows="0"/>
  <mergeCells count="31">
    <mergeCell ref="C38:E38"/>
    <mergeCell ref="G33:G34"/>
    <mergeCell ref="H33:H34"/>
    <mergeCell ref="I33:I34"/>
    <mergeCell ref="C35:E35"/>
    <mergeCell ref="C36:E36"/>
    <mergeCell ref="C37:E37"/>
    <mergeCell ref="F33:F34"/>
    <mergeCell ref="C27:E27"/>
    <mergeCell ref="C28:E28"/>
    <mergeCell ref="C29:E29"/>
    <mergeCell ref="C30:E30"/>
    <mergeCell ref="C33:E34"/>
    <mergeCell ref="F23:F24"/>
    <mergeCell ref="G23:G24"/>
    <mergeCell ref="H23:H24"/>
    <mergeCell ref="I23:I24"/>
    <mergeCell ref="C25:E25"/>
    <mergeCell ref="C26:E26"/>
    <mergeCell ref="C16:E16"/>
    <mergeCell ref="C17:E17"/>
    <mergeCell ref="C18:E18"/>
    <mergeCell ref="C19:E19"/>
    <mergeCell ref="C20:E20"/>
    <mergeCell ref="C23:E24"/>
    <mergeCell ref="C7:I7"/>
    <mergeCell ref="C14:E15"/>
    <mergeCell ref="F14:F15"/>
    <mergeCell ref="G14:G15"/>
    <mergeCell ref="H14:H15"/>
    <mergeCell ref="I14:I15"/>
  </mergeCells>
  <pageMargins left="0.7" right="0.7" top="0.75" bottom="0.75" header="0.3" footer="0.3"/>
  <pageSetup scale="96" orientation="landscape" r:id="rId1"/>
  <headerFooter>
    <oddFooter>&amp;LForm 8B
Operating, Service and Rent Subsidy Sources&amp;CCFA Forms&amp;REdition: 2015
Version: 1.1</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L41"/>
  <sheetViews>
    <sheetView showGridLines="0" zoomScaleNormal="100" workbookViewId="0">
      <selection activeCell="C36" sqref="C36:K40"/>
    </sheetView>
  </sheetViews>
  <sheetFormatPr defaultRowHeight="15" x14ac:dyDescent="0.25"/>
  <cols>
    <col min="1" max="2" width="1.7109375" style="918" customWidth="1"/>
    <col min="3" max="3" width="14.28515625" style="918" customWidth="1"/>
    <col min="4" max="4" width="14.5703125" style="918" customWidth="1"/>
    <col min="5" max="5" width="14.28515625" style="918" customWidth="1"/>
    <col min="6" max="6" width="11.42578125" style="918" customWidth="1"/>
    <col min="7" max="7" width="9.140625" style="918"/>
    <col min="8" max="8" width="11.42578125" style="918" customWidth="1"/>
    <col min="9" max="9" width="9.140625" style="918"/>
    <col min="10" max="11" width="11.42578125" style="918" customWidth="1"/>
    <col min="12" max="13" width="1.7109375" style="918" customWidth="1"/>
    <col min="14" max="16384" width="9.140625" style="918"/>
  </cols>
  <sheetData>
    <row r="7" spans="2:12" ht="13.5" customHeight="1" thickBot="1" x14ac:dyDescent="0.3"/>
    <row r="8" spans="2:12" ht="9" customHeight="1" x14ac:dyDescent="0.25">
      <c r="B8" s="386"/>
      <c r="C8" s="387"/>
      <c r="D8" s="387"/>
      <c r="E8" s="388"/>
      <c r="F8" s="388"/>
      <c r="G8" s="389"/>
      <c r="H8" s="390"/>
      <c r="I8" s="390"/>
      <c r="J8" s="391"/>
      <c r="K8" s="389"/>
      <c r="L8" s="393"/>
    </row>
    <row r="9" spans="2:12" ht="18.75" x14ac:dyDescent="0.3">
      <c r="B9" s="394"/>
      <c r="C9" s="2106" t="s">
        <v>1425</v>
      </c>
      <c r="D9" s="2106"/>
      <c r="E9" s="2106"/>
      <c r="F9" s="2106"/>
      <c r="G9" s="2106"/>
      <c r="H9" s="2106"/>
      <c r="I9" s="2106"/>
      <c r="J9" s="2106"/>
      <c r="K9" s="2106"/>
      <c r="L9" s="355"/>
    </row>
    <row r="10" spans="2:12" x14ac:dyDescent="0.25">
      <c r="B10" s="394"/>
      <c r="C10" s="354"/>
      <c r="D10" s="354"/>
      <c r="E10" s="395"/>
      <c r="F10" s="395"/>
      <c r="G10" s="396"/>
      <c r="H10" s="397"/>
      <c r="I10" s="397"/>
      <c r="J10" s="398"/>
      <c r="K10" s="396"/>
      <c r="L10" s="355"/>
    </row>
    <row r="11" spans="2:12" x14ac:dyDescent="0.25">
      <c r="B11" s="394"/>
      <c r="C11" s="1293" t="s">
        <v>1</v>
      </c>
      <c r="D11" s="1122" t="str">
        <f>IF('1A'!G5="","Enter Project Name on Form 1A",'1A'!G5)</f>
        <v>University District Apartments</v>
      </c>
      <c r="E11" s="1122"/>
      <c r="F11" s="1122"/>
      <c r="G11" s="1122"/>
      <c r="H11" s="1122"/>
      <c r="I11" s="1294"/>
      <c r="J11" s="247"/>
      <c r="K11" s="247"/>
      <c r="L11" s="355"/>
    </row>
    <row r="12" spans="2:12" ht="3.75" customHeight="1" x14ac:dyDescent="0.25">
      <c r="B12" s="394"/>
      <c r="C12" s="1293"/>
      <c r="D12" s="1123"/>
      <c r="E12" s="1123"/>
      <c r="F12" s="1123"/>
      <c r="G12" s="1123"/>
      <c r="H12" s="1123"/>
      <c r="I12" s="247"/>
      <c r="J12" s="247"/>
      <c r="K12" s="247"/>
      <c r="L12" s="944"/>
    </row>
    <row r="13" spans="2:12" x14ac:dyDescent="0.25">
      <c r="B13" s="394"/>
      <c r="C13" s="1293" t="s">
        <v>1397</v>
      </c>
      <c r="D13" s="1995" t="str">
        <f>IF('1A'!G29="","Enter Site Name on Form 1A",'1A'!G29)</f>
        <v>Project A-  4%</v>
      </c>
      <c r="E13" s="1995"/>
      <c r="F13" s="1995"/>
      <c r="G13" s="1995"/>
      <c r="H13" s="1995"/>
      <c r="I13" s="1294"/>
      <c r="J13" s="247"/>
      <c r="K13" s="247"/>
      <c r="L13" s="944"/>
    </row>
    <row r="14" spans="2:12" ht="7.5" customHeight="1" thickBot="1" x14ac:dyDescent="0.3">
      <c r="B14" s="394"/>
      <c r="C14" s="401"/>
      <c r="D14" s="401"/>
      <c r="E14" s="401"/>
      <c r="F14" s="401"/>
      <c r="G14" s="401"/>
      <c r="H14" s="401"/>
      <c r="I14" s="401"/>
      <c r="J14" s="401"/>
      <c r="K14" s="401"/>
      <c r="L14" s="355"/>
    </row>
    <row r="15" spans="2:12" ht="16.5" thickBot="1" x14ac:dyDescent="0.3">
      <c r="B15" s="394"/>
      <c r="C15" s="1295" t="s">
        <v>373</v>
      </c>
      <c r="D15" s="1296"/>
      <c r="E15" s="1296"/>
      <c r="F15" s="1296"/>
      <c r="G15" s="1296"/>
      <c r="H15" s="1296"/>
      <c r="I15" s="1296"/>
      <c r="J15" s="1296"/>
      <c r="K15" s="1297"/>
      <c r="L15" s="355"/>
    </row>
    <row r="16" spans="2:12" ht="78" thickBot="1" x14ac:dyDescent="0.3">
      <c r="B16" s="394"/>
      <c r="C16" s="2445" t="s">
        <v>374</v>
      </c>
      <c r="D16" s="2446"/>
      <c r="E16" s="1298" t="s">
        <v>375</v>
      </c>
      <c r="F16" s="1299" t="s">
        <v>376</v>
      </c>
      <c r="G16" s="1300" t="s">
        <v>377</v>
      </c>
      <c r="H16" s="1299" t="s">
        <v>378</v>
      </c>
      <c r="I16" s="1299" t="s">
        <v>379</v>
      </c>
      <c r="J16" s="1300" t="s">
        <v>380</v>
      </c>
      <c r="K16" s="1301" t="s">
        <v>381</v>
      </c>
      <c r="L16" s="355"/>
    </row>
    <row r="17" spans="2:12" x14ac:dyDescent="0.25">
      <c r="B17" s="403"/>
      <c r="C17" s="2443" t="s">
        <v>1568</v>
      </c>
      <c r="D17" s="2444"/>
      <c r="E17" s="766" t="s">
        <v>1572</v>
      </c>
      <c r="F17" s="767">
        <v>23052</v>
      </c>
      <c r="G17" s="768">
        <v>1</v>
      </c>
      <c r="H17" s="769">
        <f>F17*G17</f>
        <v>23052</v>
      </c>
      <c r="I17" s="768">
        <v>0.41</v>
      </c>
      <c r="J17" s="769">
        <f>H17*I17</f>
        <v>9451.32</v>
      </c>
      <c r="K17" s="770">
        <f>H17+J17</f>
        <v>32503.32</v>
      </c>
      <c r="L17" s="405"/>
    </row>
    <row r="18" spans="2:12" x14ac:dyDescent="0.25">
      <c r="B18" s="394"/>
      <c r="C18" s="2433" t="s">
        <v>1569</v>
      </c>
      <c r="D18" s="2434"/>
      <c r="E18" s="373" t="s">
        <v>1572</v>
      </c>
      <c r="F18" s="374">
        <v>12030</v>
      </c>
      <c r="G18" s="243">
        <v>1</v>
      </c>
      <c r="H18" s="382">
        <f>F18*G18</f>
        <v>12030</v>
      </c>
      <c r="I18" s="243">
        <v>0.41</v>
      </c>
      <c r="J18" s="382">
        <f>H18*I18</f>
        <v>4932.2999999999993</v>
      </c>
      <c r="K18" s="384">
        <f>H18+J18</f>
        <v>16962.3</v>
      </c>
      <c r="L18" s="409"/>
    </row>
    <row r="19" spans="2:12" x14ac:dyDescent="0.25">
      <c r="B19" s="394"/>
      <c r="C19" s="2433" t="s">
        <v>1570</v>
      </c>
      <c r="D19" s="2434"/>
      <c r="E19" s="373" t="s">
        <v>1572</v>
      </c>
      <c r="F19" s="374">
        <v>19248</v>
      </c>
      <c r="G19" s="243">
        <v>1</v>
      </c>
      <c r="H19" s="382">
        <f>F19*G19</f>
        <v>19248</v>
      </c>
      <c r="I19" s="243">
        <v>0.41</v>
      </c>
      <c r="J19" s="382">
        <f>H19*I19</f>
        <v>7891.6799999999994</v>
      </c>
      <c r="K19" s="384">
        <f>H19+J19</f>
        <v>27139.68</v>
      </c>
      <c r="L19" s="409"/>
    </row>
    <row r="20" spans="2:12" x14ac:dyDescent="0.25">
      <c r="B20" s="394"/>
      <c r="C20" s="2433" t="s">
        <v>1571</v>
      </c>
      <c r="D20" s="2434"/>
      <c r="E20" s="373" t="s">
        <v>1572</v>
      </c>
      <c r="F20" s="374">
        <f>13835*2</f>
        <v>27670</v>
      </c>
      <c r="G20" s="243">
        <v>0.5</v>
      </c>
      <c r="H20" s="382">
        <f>F20*G20</f>
        <v>13835</v>
      </c>
      <c r="I20" s="243">
        <v>0.41</v>
      </c>
      <c r="J20" s="382">
        <f>H20*I20</f>
        <v>5672.3499999999995</v>
      </c>
      <c r="K20" s="384">
        <f>H20+J20</f>
        <v>19507.349999999999</v>
      </c>
      <c r="L20" s="355"/>
    </row>
    <row r="21" spans="2:12" ht="15.75" thickBot="1" x14ac:dyDescent="0.3">
      <c r="B21" s="394"/>
      <c r="C21" s="2435"/>
      <c r="D21" s="2436"/>
      <c r="E21" s="375"/>
      <c r="F21" s="376">
        <v>0</v>
      </c>
      <c r="G21" s="244">
        <v>0</v>
      </c>
      <c r="H21" s="383">
        <f>F21*G21</f>
        <v>0</v>
      </c>
      <c r="I21" s="244">
        <v>0</v>
      </c>
      <c r="J21" s="383">
        <f>H21*I21</f>
        <v>0</v>
      </c>
      <c r="K21" s="385">
        <f>H21+J21</f>
        <v>0</v>
      </c>
      <c r="L21" s="355"/>
    </row>
    <row r="22" spans="2:12" ht="17.25" thickTop="1" thickBot="1" x14ac:dyDescent="0.3">
      <c r="B22" s="394"/>
      <c r="C22" s="378" t="s">
        <v>382</v>
      </c>
      <c r="D22" s="379"/>
      <c r="E22" s="379"/>
      <c r="F22" s="379"/>
      <c r="G22" s="379"/>
      <c r="H22" s="241"/>
      <c r="I22" s="241"/>
      <c r="J22" s="242"/>
      <c r="K22" s="245">
        <f>SUM(K17:K21)</f>
        <v>96112.65</v>
      </c>
      <c r="L22" s="355"/>
    </row>
    <row r="23" spans="2:12" ht="15" customHeight="1" thickBot="1" x14ac:dyDescent="0.3">
      <c r="B23" s="394"/>
      <c r="C23" s="1302"/>
      <c r="D23" s="354"/>
      <c r="E23" s="395"/>
      <c r="F23" s="1303"/>
      <c r="G23" s="1304"/>
      <c r="H23" s="1303"/>
      <c r="I23" s="1304"/>
      <c r="J23" s="1303"/>
      <c r="K23" s="1303"/>
      <c r="L23" s="1305"/>
    </row>
    <row r="24" spans="2:12" ht="16.5" thickBot="1" x14ac:dyDescent="0.3">
      <c r="B24" s="394"/>
      <c r="C24" s="2437" t="s">
        <v>383</v>
      </c>
      <c r="D24" s="2438"/>
      <c r="E24" s="2438"/>
      <c r="F24" s="2438"/>
      <c r="G24" s="2438"/>
      <c r="H24" s="2438"/>
      <c r="I24" s="2438"/>
      <c r="J24" s="2438"/>
      <c r="K24" s="2439"/>
      <c r="L24" s="355"/>
    </row>
    <row r="25" spans="2:12" ht="78" thickBot="1" x14ac:dyDescent="0.3">
      <c r="B25" s="394"/>
      <c r="C25" s="2445" t="s">
        <v>374</v>
      </c>
      <c r="D25" s="2446"/>
      <c r="E25" s="1298" t="s">
        <v>375</v>
      </c>
      <c r="F25" s="1299" t="s">
        <v>376</v>
      </c>
      <c r="G25" s="1300" t="s">
        <v>377</v>
      </c>
      <c r="H25" s="1299" t="s">
        <v>378</v>
      </c>
      <c r="I25" s="1299" t="s">
        <v>379</v>
      </c>
      <c r="J25" s="1300" t="s">
        <v>380</v>
      </c>
      <c r="K25" s="1301" t="s">
        <v>381</v>
      </c>
      <c r="L25" s="355"/>
    </row>
    <row r="26" spans="2:12" x14ac:dyDescent="0.25">
      <c r="B26" s="403"/>
      <c r="C26" s="2447"/>
      <c r="D26" s="2448"/>
      <c r="E26" s="771"/>
      <c r="F26" s="767">
        <v>0</v>
      </c>
      <c r="G26" s="768">
        <v>0</v>
      </c>
      <c r="H26" s="769">
        <f>F26*G26</f>
        <v>0</v>
      </c>
      <c r="I26" s="768">
        <v>0</v>
      </c>
      <c r="J26" s="769">
        <f>H26*I26</f>
        <v>0</v>
      </c>
      <c r="K26" s="770">
        <f>H26+J26</f>
        <v>0</v>
      </c>
      <c r="L26" s="405"/>
    </row>
    <row r="27" spans="2:12" x14ac:dyDescent="0.25">
      <c r="B27" s="394"/>
      <c r="C27" s="2433"/>
      <c r="D27" s="2434"/>
      <c r="E27" s="373"/>
      <c r="F27" s="374">
        <v>0</v>
      </c>
      <c r="G27" s="243">
        <v>0</v>
      </c>
      <c r="H27" s="382">
        <f>F27*G27</f>
        <v>0</v>
      </c>
      <c r="I27" s="243">
        <v>0</v>
      </c>
      <c r="J27" s="382">
        <f>H27*I27</f>
        <v>0</v>
      </c>
      <c r="K27" s="384">
        <f>H27+J27</f>
        <v>0</v>
      </c>
      <c r="L27" s="355"/>
    </row>
    <row r="28" spans="2:12" x14ac:dyDescent="0.25">
      <c r="B28" s="394"/>
      <c r="C28" s="2433"/>
      <c r="D28" s="2434"/>
      <c r="E28" s="373"/>
      <c r="F28" s="374">
        <v>0</v>
      </c>
      <c r="G28" s="243">
        <v>0</v>
      </c>
      <c r="H28" s="382">
        <f>F28*G28</f>
        <v>0</v>
      </c>
      <c r="I28" s="243">
        <v>0</v>
      </c>
      <c r="J28" s="382">
        <f>H28*I28</f>
        <v>0</v>
      </c>
      <c r="K28" s="384">
        <f>H28+J28</f>
        <v>0</v>
      </c>
      <c r="L28" s="409"/>
    </row>
    <row r="29" spans="2:12" x14ac:dyDescent="0.25">
      <c r="B29" s="394"/>
      <c r="C29" s="2433"/>
      <c r="D29" s="2434"/>
      <c r="E29" s="373"/>
      <c r="F29" s="374">
        <v>0</v>
      </c>
      <c r="G29" s="243">
        <v>0</v>
      </c>
      <c r="H29" s="382">
        <f>F29*G29</f>
        <v>0</v>
      </c>
      <c r="I29" s="243">
        <v>0</v>
      </c>
      <c r="J29" s="382">
        <f>H29*I29</f>
        <v>0</v>
      </c>
      <c r="K29" s="384">
        <f>H29+J29</f>
        <v>0</v>
      </c>
      <c r="L29" s="355"/>
    </row>
    <row r="30" spans="2:12" ht="15.75" thickBot="1" x14ac:dyDescent="0.3">
      <c r="B30" s="394"/>
      <c r="C30" s="2435"/>
      <c r="D30" s="2436"/>
      <c r="E30" s="375"/>
      <c r="F30" s="377">
        <v>0</v>
      </c>
      <c r="G30" s="244">
        <v>0</v>
      </c>
      <c r="H30" s="383">
        <f>F30*G30</f>
        <v>0</v>
      </c>
      <c r="I30" s="244">
        <v>0</v>
      </c>
      <c r="J30" s="383">
        <f>H30*I30</f>
        <v>0</v>
      </c>
      <c r="K30" s="385">
        <f>H30+J30</f>
        <v>0</v>
      </c>
      <c r="L30" s="355"/>
    </row>
    <row r="31" spans="2:12" ht="17.25" thickTop="1" thickBot="1" x14ac:dyDescent="0.3">
      <c r="B31" s="394"/>
      <c r="C31" s="378" t="s">
        <v>384</v>
      </c>
      <c r="D31" s="379"/>
      <c r="E31" s="379"/>
      <c r="F31" s="379"/>
      <c r="G31" s="379"/>
      <c r="H31" s="241"/>
      <c r="I31" s="241"/>
      <c r="J31" s="242"/>
      <c r="K31" s="245">
        <f>SUM(K26:K30)</f>
        <v>0</v>
      </c>
      <c r="L31" s="355"/>
    </row>
    <row r="32" spans="2:12" ht="7.5" customHeight="1" thickBot="1" x14ac:dyDescent="0.3">
      <c r="B32" s="394"/>
      <c r="C32" s="354"/>
      <c r="D32" s="354"/>
      <c r="E32" s="395"/>
      <c r="F32" s="395"/>
      <c r="G32" s="396"/>
      <c r="H32" s="397"/>
      <c r="I32" s="397"/>
      <c r="J32" s="398"/>
      <c r="K32" s="396"/>
      <c r="L32" s="355"/>
    </row>
    <row r="33" spans="2:12" ht="17.25" thickTop="1" thickBot="1" x14ac:dyDescent="0.3">
      <c r="B33" s="414"/>
      <c r="C33" s="378" t="s">
        <v>385</v>
      </c>
      <c r="D33" s="379"/>
      <c r="E33" s="379"/>
      <c r="F33" s="379"/>
      <c r="G33" s="379"/>
      <c r="H33" s="241"/>
      <c r="I33" s="241"/>
      <c r="J33" s="242"/>
      <c r="K33" s="245">
        <f>K22+K31</f>
        <v>96112.65</v>
      </c>
      <c r="L33" s="355"/>
    </row>
    <row r="34" spans="2:12" ht="7.5" customHeight="1" x14ac:dyDescent="0.25">
      <c r="B34" s="414"/>
      <c r="C34" s="423"/>
      <c r="D34" s="423"/>
      <c r="E34" s="423"/>
      <c r="F34" s="423"/>
      <c r="G34" s="423"/>
      <c r="H34" s="435"/>
      <c r="I34" s="435"/>
      <c r="J34" s="436"/>
      <c r="K34" s="436"/>
      <c r="L34" s="355"/>
    </row>
    <row r="35" spans="2:12" ht="16.5" thickBot="1" x14ac:dyDescent="0.3">
      <c r="B35" s="394"/>
      <c r="C35" s="1306" t="s">
        <v>657</v>
      </c>
      <c r="D35" s="1306"/>
      <c r="E35" s="1306"/>
      <c r="F35" s="1306"/>
      <c r="G35" s="1306"/>
      <c r="H35" s="1306"/>
      <c r="I35" s="1306"/>
      <c r="J35" s="1306"/>
      <c r="K35" s="1306"/>
      <c r="L35" s="355"/>
    </row>
    <row r="36" spans="2:12" x14ac:dyDescent="0.25">
      <c r="B36" s="394"/>
      <c r="C36" s="2440" t="s">
        <v>1674</v>
      </c>
      <c r="D36" s="2441"/>
      <c r="E36" s="2441"/>
      <c r="F36" s="2441"/>
      <c r="G36" s="2441"/>
      <c r="H36" s="2441"/>
      <c r="I36" s="2441"/>
      <c r="J36" s="2441"/>
      <c r="K36" s="2442"/>
      <c r="L36" s="355"/>
    </row>
    <row r="37" spans="2:12" x14ac:dyDescent="0.25">
      <c r="B37" s="394"/>
      <c r="C37" s="2112"/>
      <c r="D37" s="2113"/>
      <c r="E37" s="2113"/>
      <c r="F37" s="2113"/>
      <c r="G37" s="2113"/>
      <c r="H37" s="2113"/>
      <c r="I37" s="2113"/>
      <c r="J37" s="2113"/>
      <c r="K37" s="2114"/>
      <c r="L37" s="355"/>
    </row>
    <row r="38" spans="2:12" x14ac:dyDescent="0.25">
      <c r="B38" s="394"/>
      <c r="C38" s="2112"/>
      <c r="D38" s="2113"/>
      <c r="E38" s="2113"/>
      <c r="F38" s="2113"/>
      <c r="G38" s="2113"/>
      <c r="H38" s="2113"/>
      <c r="I38" s="2113"/>
      <c r="J38" s="2113"/>
      <c r="K38" s="2114"/>
      <c r="L38" s="355"/>
    </row>
    <row r="39" spans="2:12" x14ac:dyDescent="0.25">
      <c r="B39" s="394"/>
      <c r="C39" s="2112"/>
      <c r="D39" s="2113"/>
      <c r="E39" s="2113"/>
      <c r="F39" s="2113"/>
      <c r="G39" s="2113"/>
      <c r="H39" s="2113"/>
      <c r="I39" s="2113"/>
      <c r="J39" s="2113"/>
      <c r="K39" s="2114"/>
      <c r="L39" s="355"/>
    </row>
    <row r="40" spans="2:12" x14ac:dyDescent="0.25">
      <c r="B40" s="394"/>
      <c r="C40" s="2115"/>
      <c r="D40" s="2116"/>
      <c r="E40" s="2116"/>
      <c r="F40" s="2116"/>
      <c r="G40" s="2116"/>
      <c r="H40" s="2116"/>
      <c r="I40" s="2116"/>
      <c r="J40" s="2116"/>
      <c r="K40" s="2117"/>
      <c r="L40" s="355"/>
    </row>
    <row r="41" spans="2:12" ht="9" customHeight="1" thickBot="1" x14ac:dyDescent="0.3">
      <c r="B41" s="1307"/>
      <c r="C41" s="1308"/>
      <c r="D41" s="1308"/>
      <c r="E41" s="1308"/>
      <c r="F41" s="1308"/>
      <c r="G41" s="1308"/>
      <c r="H41" s="1308"/>
      <c r="I41" s="1308"/>
      <c r="J41" s="1308"/>
      <c r="K41" s="1308"/>
      <c r="L41" s="361"/>
    </row>
  </sheetData>
  <sheetProtection password="9F6B" sheet="1" objects="1" scenarios="1" formatCells="0" formatColumns="0" formatRows="0" insertRows="0"/>
  <mergeCells count="15">
    <mergeCell ref="C9:K9"/>
    <mergeCell ref="C29:D29"/>
    <mergeCell ref="C30:D30"/>
    <mergeCell ref="C24:K24"/>
    <mergeCell ref="C36:K40"/>
    <mergeCell ref="C17:D17"/>
    <mergeCell ref="C18:D18"/>
    <mergeCell ref="C20:D20"/>
    <mergeCell ref="C21:D21"/>
    <mergeCell ref="C19:D19"/>
    <mergeCell ref="C16:D16"/>
    <mergeCell ref="C25:D25"/>
    <mergeCell ref="C28:D28"/>
    <mergeCell ref="C26:D26"/>
    <mergeCell ref="C27:D27"/>
  </mergeCells>
  <pageMargins left="0.7" right="0.7" top="0.75" bottom="0.75" header="0.3" footer="0.3"/>
  <pageSetup scale="82" orientation="portrait" r:id="rId1"/>
  <headerFooter>
    <oddFooter>&amp;LForm 8C
Operating Personnel Expenses&amp;CCFA Forms&amp;REdition: 2015
Version: 1.1</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Q52"/>
  <sheetViews>
    <sheetView showGridLines="0" zoomScaleNormal="100" workbookViewId="0">
      <selection activeCell="C47" sqref="C47:O51"/>
    </sheetView>
  </sheetViews>
  <sheetFormatPr defaultRowHeight="15" x14ac:dyDescent="0.25"/>
  <cols>
    <col min="1" max="2" width="1.7109375" style="839" customWidth="1"/>
    <col min="3" max="3" width="14.28515625" style="839" customWidth="1"/>
    <col min="4" max="4" width="17.140625" style="839" customWidth="1"/>
    <col min="5" max="5" width="14.28515625" style="839" customWidth="1"/>
    <col min="6" max="11" width="9.140625" style="839"/>
    <col min="12" max="12" width="2.85546875" style="839" customWidth="1"/>
    <col min="13" max="16" width="11.42578125" style="839" customWidth="1"/>
    <col min="17" max="17" width="1.7109375" style="839" customWidth="1"/>
    <col min="18" max="16384" width="9.140625" style="839"/>
  </cols>
  <sheetData>
    <row r="11" spans="2:17" ht="9" customHeight="1" thickBot="1" x14ac:dyDescent="0.3"/>
    <row r="12" spans="2:17" ht="9" customHeight="1" x14ac:dyDescent="0.25">
      <c r="B12" s="386"/>
      <c r="C12" s="387"/>
      <c r="D12" s="387"/>
      <c r="E12" s="388"/>
      <c r="F12" s="388"/>
      <c r="G12" s="389"/>
      <c r="H12" s="390"/>
      <c r="I12" s="390"/>
      <c r="J12" s="391"/>
      <c r="K12" s="389"/>
      <c r="L12" s="389"/>
      <c r="M12" s="392"/>
      <c r="N12" s="388"/>
      <c r="O12" s="389"/>
      <c r="P12" s="389"/>
      <c r="Q12" s="393"/>
    </row>
    <row r="13" spans="2:17" ht="18.75" x14ac:dyDescent="0.3">
      <c r="B13" s="394"/>
      <c r="C13" s="2106" t="s">
        <v>386</v>
      </c>
      <c r="D13" s="2106"/>
      <c r="E13" s="2106"/>
      <c r="F13" s="2106"/>
      <c r="G13" s="2106"/>
      <c r="H13" s="2106"/>
      <c r="I13" s="2106"/>
      <c r="J13" s="2106"/>
      <c r="K13" s="2106"/>
      <c r="L13" s="2106"/>
      <c r="M13" s="2106"/>
      <c r="N13" s="2106"/>
      <c r="O13" s="2106"/>
      <c r="P13" s="2106"/>
      <c r="Q13" s="355"/>
    </row>
    <row r="14" spans="2:17" x14ac:dyDescent="0.25">
      <c r="B14" s="394"/>
      <c r="C14" s="354"/>
      <c r="D14" s="354"/>
      <c r="E14" s="395"/>
      <c r="F14" s="395"/>
      <c r="G14" s="396"/>
      <c r="H14" s="397"/>
      <c r="I14" s="397"/>
      <c r="J14" s="398"/>
      <c r="K14" s="396"/>
      <c r="L14" s="396"/>
      <c r="M14" s="399"/>
      <c r="N14" s="395"/>
      <c r="O14" s="396"/>
      <c r="P14" s="1208"/>
      <c r="Q14" s="355"/>
    </row>
    <row r="15" spans="2:17" x14ac:dyDescent="0.25">
      <c r="B15" s="394"/>
      <c r="C15" s="1289" t="s">
        <v>1</v>
      </c>
      <c r="D15" s="1122" t="str">
        <f>IF('1A'!G5="","Enter Project Name on Form 1A",'1A'!G5)</f>
        <v>University District Apartments</v>
      </c>
      <c r="E15" s="1291"/>
      <c r="F15" s="1122"/>
      <c r="G15" s="1122"/>
      <c r="H15" s="1122"/>
      <c r="I15" s="1122"/>
      <c r="J15" s="1122"/>
      <c r="K15" s="1122"/>
      <c r="L15" s="354"/>
      <c r="M15" s="354"/>
      <c r="N15" s="354"/>
      <c r="O15" s="354"/>
      <c r="P15" s="1208"/>
      <c r="Q15" s="439"/>
    </row>
    <row r="16" spans="2:17" ht="3.75" customHeight="1" x14ac:dyDescent="0.25">
      <c r="B16" s="394"/>
      <c r="C16" s="401"/>
      <c r="D16" s="401"/>
      <c r="E16" s="401"/>
      <c r="F16" s="401"/>
      <c r="G16" s="401"/>
      <c r="H16" s="401"/>
      <c r="I16" s="401"/>
      <c r="J16" s="401"/>
      <c r="K16" s="401"/>
      <c r="L16" s="401"/>
      <c r="M16" s="1208"/>
      <c r="N16" s="1208"/>
      <c r="O16" s="1208"/>
      <c r="P16" s="1208"/>
      <c r="Q16" s="355"/>
    </row>
    <row r="17" spans="2:17" x14ac:dyDescent="0.25">
      <c r="B17" s="394"/>
      <c r="C17" s="1289" t="s">
        <v>1397</v>
      </c>
      <c r="D17" s="1995" t="str">
        <f>IF('1A'!G29="","Enter Site Name on Form 1A",'1A'!G29)</f>
        <v>Project A-  4%</v>
      </c>
      <c r="E17" s="1291"/>
      <c r="F17" s="1995"/>
      <c r="G17" s="1995"/>
      <c r="H17" s="1995"/>
      <c r="I17" s="1995"/>
      <c r="J17" s="1995"/>
      <c r="K17" s="1995"/>
      <c r="L17" s="942"/>
      <c r="M17" s="942"/>
      <c r="N17" s="942"/>
      <c r="O17" s="942"/>
      <c r="P17" s="1208"/>
      <c r="Q17" s="439"/>
    </row>
    <row r="18" spans="2:17" ht="7.5" customHeight="1" thickBot="1" x14ac:dyDescent="0.3">
      <c r="B18" s="394"/>
      <c r="C18" s="821"/>
      <c r="D18" s="821"/>
      <c r="E18" s="821"/>
      <c r="F18" s="821"/>
      <c r="G18" s="821"/>
      <c r="H18" s="821"/>
      <c r="I18" s="821"/>
      <c r="J18" s="821"/>
      <c r="K18" s="821"/>
      <c r="L18" s="402"/>
      <c r="M18" s="821"/>
      <c r="N18" s="821"/>
      <c r="O18" s="821"/>
      <c r="P18" s="821"/>
      <c r="Q18" s="355"/>
    </row>
    <row r="19" spans="2:17" ht="16.5" thickBot="1" x14ac:dyDescent="0.3">
      <c r="B19" s="394"/>
      <c r="C19" s="2465" t="s">
        <v>387</v>
      </c>
      <c r="D19" s="2466"/>
      <c r="E19" s="2467"/>
      <c r="F19" s="2467"/>
      <c r="G19" s="2467"/>
      <c r="H19" s="2467"/>
      <c r="I19" s="2467"/>
      <c r="J19" s="2467"/>
      <c r="K19" s="2468"/>
      <c r="L19" s="402"/>
      <c r="M19" s="2452" t="s">
        <v>390</v>
      </c>
      <c r="N19" s="2453"/>
      <c r="O19" s="2453"/>
      <c r="P19" s="2454"/>
      <c r="Q19" s="355"/>
    </row>
    <row r="20" spans="2:17" ht="108.75" thickBot="1" x14ac:dyDescent="0.3">
      <c r="B20" s="403"/>
      <c r="C20" s="802" t="s">
        <v>388</v>
      </c>
      <c r="D20" s="803"/>
      <c r="E20" s="1298" t="s">
        <v>375</v>
      </c>
      <c r="F20" s="1299" t="s">
        <v>376</v>
      </c>
      <c r="G20" s="1300" t="s">
        <v>377</v>
      </c>
      <c r="H20" s="1299" t="s">
        <v>378</v>
      </c>
      <c r="I20" s="1299" t="s">
        <v>379</v>
      </c>
      <c r="J20" s="1300" t="s">
        <v>380</v>
      </c>
      <c r="K20" s="1301" t="s">
        <v>389</v>
      </c>
      <c r="L20" s="402"/>
      <c r="M20" s="1654" t="s">
        <v>391</v>
      </c>
      <c r="N20" s="1309" t="str">
        <f>IF('8B - 9%'!C35="","Enter Source Name on Form 8B",'8B - 9%'!C35)</f>
        <v>Extra Rent from Project Based Rental Assistance for : 10 Studios, 10-1BR, 12-2BR, 8-3BR Units, Less 5% Vacancy</v>
      </c>
      <c r="O20" s="1309" t="str">
        <f>IF('8B - 9%'!C36="","Enter Source Name on Form 8B",'8B - 9%'!C36)</f>
        <v>Enter Source Name on Form 8B</v>
      </c>
      <c r="P20" s="1310" t="str">
        <f>IF('8B - 9%'!C37="","Enter Source Name on Form 8B",'8B - 9%'!C37)</f>
        <v>Enter Source Name on Form 8B</v>
      </c>
      <c r="Q20" s="355"/>
    </row>
    <row r="21" spans="2:17" x14ac:dyDescent="0.25">
      <c r="B21" s="403"/>
      <c r="C21" s="2469"/>
      <c r="D21" s="2470"/>
      <c r="E21" s="766"/>
      <c r="F21" s="767">
        <v>0</v>
      </c>
      <c r="G21" s="768">
        <v>0</v>
      </c>
      <c r="H21" s="769">
        <f>F21*G21</f>
        <v>0</v>
      </c>
      <c r="I21" s="768">
        <v>0</v>
      </c>
      <c r="J21" s="769">
        <f>H21*I21</f>
        <v>0</v>
      </c>
      <c r="K21" s="770">
        <f>H21+J21</f>
        <v>0</v>
      </c>
      <c r="L21" s="404"/>
      <c r="M21" s="773">
        <v>0</v>
      </c>
      <c r="N21" s="774">
        <v>0</v>
      </c>
      <c r="O21" s="774">
        <v>0</v>
      </c>
      <c r="P21" s="775">
        <v>0</v>
      </c>
      <c r="Q21" s="405"/>
    </row>
    <row r="22" spans="2:17" x14ac:dyDescent="0.25">
      <c r="B22" s="394"/>
      <c r="C22" s="2433"/>
      <c r="D22" s="2434"/>
      <c r="E22" s="373"/>
      <c r="F22" s="374">
        <v>0</v>
      </c>
      <c r="G22" s="243">
        <v>0</v>
      </c>
      <c r="H22" s="382">
        <f t="shared" ref="H22:H29" si="0">F22*G22</f>
        <v>0</v>
      </c>
      <c r="I22" s="243">
        <v>0</v>
      </c>
      <c r="J22" s="382">
        <f t="shared" ref="J22:J29" si="1">H22*I22</f>
        <v>0</v>
      </c>
      <c r="K22" s="384">
        <f t="shared" ref="K22:K29" si="2">H22+J22</f>
        <v>0</v>
      </c>
      <c r="L22" s="404"/>
      <c r="M22" s="406">
        <v>0</v>
      </c>
      <c r="N22" s="407">
        <v>0</v>
      </c>
      <c r="O22" s="407">
        <v>0</v>
      </c>
      <c r="P22" s="408">
        <v>0</v>
      </c>
      <c r="Q22" s="409"/>
    </row>
    <row r="23" spans="2:17" x14ac:dyDescent="0.25">
      <c r="B23" s="394"/>
      <c r="C23" s="2433"/>
      <c r="D23" s="2434"/>
      <c r="E23" s="373"/>
      <c r="F23" s="374">
        <v>0</v>
      </c>
      <c r="G23" s="243">
        <v>0</v>
      </c>
      <c r="H23" s="382">
        <f t="shared" si="0"/>
        <v>0</v>
      </c>
      <c r="I23" s="243">
        <v>0</v>
      </c>
      <c r="J23" s="382">
        <f t="shared" si="1"/>
        <v>0</v>
      </c>
      <c r="K23" s="384">
        <f t="shared" si="2"/>
        <v>0</v>
      </c>
      <c r="L23" s="404"/>
      <c r="M23" s="406">
        <v>0</v>
      </c>
      <c r="N23" s="407">
        <v>0</v>
      </c>
      <c r="O23" s="407">
        <v>0</v>
      </c>
      <c r="P23" s="408">
        <v>0</v>
      </c>
      <c r="Q23" s="355"/>
    </row>
    <row r="24" spans="2:17" x14ac:dyDescent="0.25">
      <c r="B24" s="394"/>
      <c r="C24" s="2433"/>
      <c r="D24" s="2434"/>
      <c r="E24" s="373"/>
      <c r="F24" s="374">
        <v>0</v>
      </c>
      <c r="G24" s="243">
        <v>0</v>
      </c>
      <c r="H24" s="382">
        <f t="shared" si="0"/>
        <v>0</v>
      </c>
      <c r="I24" s="243">
        <v>0</v>
      </c>
      <c r="J24" s="382">
        <f t="shared" si="1"/>
        <v>0</v>
      </c>
      <c r="K24" s="384">
        <f t="shared" si="2"/>
        <v>0</v>
      </c>
      <c r="L24" s="404"/>
      <c r="M24" s="406">
        <v>0</v>
      </c>
      <c r="N24" s="407">
        <v>0</v>
      </c>
      <c r="O24" s="407">
        <v>0</v>
      </c>
      <c r="P24" s="408">
        <v>0</v>
      </c>
      <c r="Q24" s="355"/>
    </row>
    <row r="25" spans="2:17" x14ac:dyDescent="0.25">
      <c r="B25" s="394"/>
      <c r="C25" s="2433"/>
      <c r="D25" s="2434"/>
      <c r="E25" s="373"/>
      <c r="F25" s="374">
        <v>0</v>
      </c>
      <c r="G25" s="243">
        <v>0</v>
      </c>
      <c r="H25" s="382">
        <f t="shared" si="0"/>
        <v>0</v>
      </c>
      <c r="I25" s="243">
        <v>0</v>
      </c>
      <c r="J25" s="382">
        <f t="shared" si="1"/>
        <v>0</v>
      </c>
      <c r="K25" s="384">
        <f t="shared" si="2"/>
        <v>0</v>
      </c>
      <c r="L25" s="404"/>
      <c r="M25" s="406">
        <v>0</v>
      </c>
      <c r="N25" s="407">
        <v>0</v>
      </c>
      <c r="O25" s="407">
        <v>0</v>
      </c>
      <c r="P25" s="408">
        <v>0</v>
      </c>
      <c r="Q25" s="355"/>
    </row>
    <row r="26" spans="2:17" x14ac:dyDescent="0.25">
      <c r="B26" s="394"/>
      <c r="C26" s="2433"/>
      <c r="D26" s="2434"/>
      <c r="E26" s="373"/>
      <c r="F26" s="410">
        <v>0</v>
      </c>
      <c r="G26" s="243">
        <v>0</v>
      </c>
      <c r="H26" s="382">
        <f t="shared" si="0"/>
        <v>0</v>
      </c>
      <c r="I26" s="243">
        <v>0</v>
      </c>
      <c r="J26" s="382">
        <f t="shared" si="1"/>
        <v>0</v>
      </c>
      <c r="K26" s="384">
        <f t="shared" si="2"/>
        <v>0</v>
      </c>
      <c r="L26" s="404"/>
      <c r="M26" s="406">
        <v>0</v>
      </c>
      <c r="N26" s="407">
        <v>0</v>
      </c>
      <c r="O26" s="407">
        <v>0</v>
      </c>
      <c r="P26" s="408">
        <v>0</v>
      </c>
      <c r="Q26" s="355"/>
    </row>
    <row r="27" spans="2:17" x14ac:dyDescent="0.25">
      <c r="B27" s="394"/>
      <c r="C27" s="2433"/>
      <c r="D27" s="2434"/>
      <c r="E27" s="373"/>
      <c r="F27" s="410">
        <v>0</v>
      </c>
      <c r="G27" s="243">
        <v>0</v>
      </c>
      <c r="H27" s="382">
        <f t="shared" si="0"/>
        <v>0</v>
      </c>
      <c r="I27" s="243">
        <v>0</v>
      </c>
      <c r="J27" s="382">
        <f t="shared" si="1"/>
        <v>0</v>
      </c>
      <c r="K27" s="384">
        <f t="shared" si="2"/>
        <v>0</v>
      </c>
      <c r="L27" s="404"/>
      <c r="M27" s="406">
        <v>0</v>
      </c>
      <c r="N27" s="407">
        <v>0</v>
      </c>
      <c r="O27" s="407">
        <v>0</v>
      </c>
      <c r="P27" s="408">
        <v>0</v>
      </c>
      <c r="Q27" s="355"/>
    </row>
    <row r="28" spans="2:17" x14ac:dyDescent="0.25">
      <c r="B28" s="394"/>
      <c r="C28" s="2433"/>
      <c r="D28" s="2434"/>
      <c r="E28" s="373"/>
      <c r="F28" s="410">
        <v>0</v>
      </c>
      <c r="G28" s="243">
        <v>0</v>
      </c>
      <c r="H28" s="382">
        <f t="shared" si="0"/>
        <v>0</v>
      </c>
      <c r="I28" s="243">
        <v>0</v>
      </c>
      <c r="J28" s="382">
        <f t="shared" si="1"/>
        <v>0</v>
      </c>
      <c r="K28" s="384">
        <f t="shared" si="2"/>
        <v>0</v>
      </c>
      <c r="L28" s="404"/>
      <c r="M28" s="406">
        <v>0</v>
      </c>
      <c r="N28" s="407">
        <v>0</v>
      </c>
      <c r="O28" s="407">
        <v>0</v>
      </c>
      <c r="P28" s="408">
        <v>0</v>
      </c>
      <c r="Q28" s="355"/>
    </row>
    <row r="29" spans="2:17" ht="15.75" thickBot="1" x14ac:dyDescent="0.3">
      <c r="B29" s="394"/>
      <c r="C29" s="2435"/>
      <c r="D29" s="2436"/>
      <c r="E29" s="375"/>
      <c r="F29" s="377">
        <v>0</v>
      </c>
      <c r="G29" s="244">
        <v>0</v>
      </c>
      <c r="H29" s="383">
        <f t="shared" si="0"/>
        <v>0</v>
      </c>
      <c r="I29" s="244">
        <v>0</v>
      </c>
      <c r="J29" s="383">
        <f t="shared" si="1"/>
        <v>0</v>
      </c>
      <c r="K29" s="726">
        <f t="shared" si="2"/>
        <v>0</v>
      </c>
      <c r="L29" s="404"/>
      <c r="M29" s="411">
        <v>0</v>
      </c>
      <c r="N29" s="412">
        <v>0</v>
      </c>
      <c r="O29" s="412">
        <v>0</v>
      </c>
      <c r="P29" s="413">
        <v>0</v>
      </c>
      <c r="Q29" s="355"/>
    </row>
    <row r="30" spans="2:17" ht="17.25" thickTop="1" thickBot="1" x14ac:dyDescent="0.3">
      <c r="B30" s="414"/>
      <c r="C30" s="2463" t="s">
        <v>392</v>
      </c>
      <c r="D30" s="2464"/>
      <c r="E30" s="2464"/>
      <c r="F30" s="2464"/>
      <c r="G30" s="2464"/>
      <c r="H30" s="415"/>
      <c r="I30" s="415"/>
      <c r="J30" s="416"/>
      <c r="K30" s="245">
        <f>SUM(K21:K29)</f>
        <v>0</v>
      </c>
      <c r="L30" s="417"/>
      <c r="M30" s="1322">
        <f>SUM(M21:M29)</f>
        <v>0</v>
      </c>
      <c r="N30" s="1323">
        <f>SUM(N21:N29)</f>
        <v>0</v>
      </c>
      <c r="O30" s="1323">
        <f>SUM(O21:O29)</f>
        <v>0</v>
      </c>
      <c r="P30" s="1324">
        <f>SUM(P21:P29)</f>
        <v>0</v>
      </c>
      <c r="Q30" s="355"/>
    </row>
    <row r="31" spans="2:17" ht="15" customHeight="1" thickBot="1" x14ac:dyDescent="0.3">
      <c r="B31" s="414"/>
      <c r="C31" s="418"/>
      <c r="D31" s="418"/>
      <c r="E31" s="418"/>
      <c r="F31" s="418"/>
      <c r="G31" s="418"/>
      <c r="H31" s="419"/>
      <c r="I31" s="419"/>
      <c r="J31" s="420"/>
      <c r="K31" s="420"/>
      <c r="L31" s="421"/>
      <c r="M31" s="420"/>
      <c r="N31" s="420"/>
      <c r="O31" s="420"/>
      <c r="P31" s="420"/>
      <c r="Q31" s="355"/>
    </row>
    <row r="32" spans="2:17" ht="109.5" thickBot="1" x14ac:dyDescent="0.3">
      <c r="B32" s="414"/>
      <c r="C32" s="378" t="s">
        <v>393</v>
      </c>
      <c r="D32" s="379"/>
      <c r="E32" s="379"/>
      <c r="F32" s="379"/>
      <c r="G32" s="379"/>
      <c r="H32" s="379"/>
      <c r="I32" s="379"/>
      <c r="J32" s="379"/>
      <c r="K32" s="1656"/>
      <c r="L32" s="421"/>
      <c r="M32" s="1655" t="s">
        <v>391</v>
      </c>
      <c r="N32" s="776" t="str">
        <f>N20</f>
        <v>Extra Rent from Project Based Rental Assistance for : 10 Studios, 10-1BR, 12-2BR, 8-3BR Units, Less 5% Vacancy</v>
      </c>
      <c r="O32" s="776" t="str">
        <f>O20</f>
        <v>Enter Source Name on Form 8B</v>
      </c>
      <c r="P32" s="777" t="str">
        <f>P20</f>
        <v>Enter Source Name on Form 8B</v>
      </c>
      <c r="Q32" s="355"/>
    </row>
    <row r="33" spans="2:17" ht="15.75" x14ac:dyDescent="0.25">
      <c r="B33" s="414"/>
      <c r="C33" s="821"/>
      <c r="D33" s="440"/>
      <c r="E33" s="821"/>
      <c r="F33" s="440" t="s">
        <v>394</v>
      </c>
      <c r="G33" s="821"/>
      <c r="H33" s="821"/>
      <c r="I33" s="821"/>
      <c r="J33" s="821"/>
      <c r="K33" s="772">
        <v>0</v>
      </c>
      <c r="L33" s="424"/>
      <c r="M33" s="425">
        <v>0</v>
      </c>
      <c r="N33" s="426">
        <v>0</v>
      </c>
      <c r="O33" s="426">
        <v>0</v>
      </c>
      <c r="P33" s="427">
        <v>0</v>
      </c>
      <c r="Q33" s="355"/>
    </row>
    <row r="34" spans="2:17" ht="15.75" x14ac:dyDescent="0.25">
      <c r="B34" s="414"/>
      <c r="C34" s="821"/>
      <c r="D34" s="440"/>
      <c r="E34" s="821"/>
      <c r="F34" s="440" t="s">
        <v>395</v>
      </c>
      <c r="G34" s="821"/>
      <c r="H34" s="821"/>
      <c r="I34" s="821"/>
      <c r="J34" s="821"/>
      <c r="K34" s="727">
        <v>0</v>
      </c>
      <c r="L34" s="424"/>
      <c r="M34" s="428">
        <v>0</v>
      </c>
      <c r="N34" s="407">
        <v>0</v>
      </c>
      <c r="O34" s="407">
        <v>0</v>
      </c>
      <c r="P34" s="429">
        <v>0</v>
      </c>
      <c r="Q34" s="355"/>
    </row>
    <row r="35" spans="2:17" ht="15.75" x14ac:dyDescent="0.25">
      <c r="B35" s="414"/>
      <c r="C35" s="821"/>
      <c r="D35" s="440"/>
      <c r="E35" s="821"/>
      <c r="F35" s="440" t="s">
        <v>396</v>
      </c>
      <c r="G35" s="821"/>
      <c r="H35" s="821"/>
      <c r="I35" s="821"/>
      <c r="J35" s="821"/>
      <c r="K35" s="727">
        <v>0</v>
      </c>
      <c r="L35" s="424"/>
      <c r="M35" s="428">
        <v>0</v>
      </c>
      <c r="N35" s="407">
        <v>0</v>
      </c>
      <c r="O35" s="407">
        <v>0</v>
      </c>
      <c r="P35" s="429">
        <v>0</v>
      </c>
      <c r="Q35" s="355"/>
    </row>
    <row r="36" spans="2:17" ht="15.75" x14ac:dyDescent="0.25">
      <c r="B36" s="414"/>
      <c r="C36" s="821"/>
      <c r="D36" s="440"/>
      <c r="E36" s="821"/>
      <c r="F36" s="440" t="s">
        <v>397</v>
      </c>
      <c r="G36" s="821"/>
      <c r="H36" s="821"/>
      <c r="I36" s="821"/>
      <c r="J36" s="821"/>
      <c r="K36" s="727">
        <v>0</v>
      </c>
      <c r="L36" s="424"/>
      <c r="M36" s="428">
        <v>0</v>
      </c>
      <c r="N36" s="407">
        <v>0</v>
      </c>
      <c r="O36" s="407">
        <v>0</v>
      </c>
      <c r="P36" s="429">
        <v>0</v>
      </c>
      <c r="Q36" s="355"/>
    </row>
    <row r="37" spans="2:17" ht="15.75" x14ac:dyDescent="0.25">
      <c r="B37" s="414"/>
      <c r="C37" s="821"/>
      <c r="D37" s="440"/>
      <c r="E37" s="821"/>
      <c r="F37" s="440" t="s">
        <v>398</v>
      </c>
      <c r="G37" s="821"/>
      <c r="H37" s="821"/>
      <c r="I37" s="821"/>
      <c r="J37" s="821"/>
      <c r="K37" s="727">
        <v>0</v>
      </c>
      <c r="L37" s="424"/>
      <c r="M37" s="428">
        <v>0</v>
      </c>
      <c r="N37" s="407">
        <v>0</v>
      </c>
      <c r="O37" s="407">
        <v>0</v>
      </c>
      <c r="P37" s="429">
        <v>0</v>
      </c>
      <c r="Q37" s="355"/>
    </row>
    <row r="38" spans="2:17" ht="15.75" x14ac:dyDescent="0.25">
      <c r="B38" s="414"/>
      <c r="C38" s="821"/>
      <c r="D38" s="440"/>
      <c r="E38" s="821"/>
      <c r="F38" s="440" t="s">
        <v>399</v>
      </c>
      <c r="G38" s="821"/>
      <c r="H38" s="821"/>
      <c r="I38" s="821"/>
      <c r="J38" s="821"/>
      <c r="K38" s="727">
        <v>0</v>
      </c>
      <c r="L38" s="424"/>
      <c r="M38" s="428">
        <v>0</v>
      </c>
      <c r="N38" s="407">
        <v>0</v>
      </c>
      <c r="O38" s="407">
        <v>0</v>
      </c>
      <c r="P38" s="429">
        <v>0</v>
      </c>
      <c r="Q38" s="355"/>
    </row>
    <row r="39" spans="2:17" ht="15.75" x14ac:dyDescent="0.25">
      <c r="B39" s="414"/>
      <c r="C39" s="821"/>
      <c r="D39" s="440"/>
      <c r="E39" s="821"/>
      <c r="F39" s="440" t="s">
        <v>476</v>
      </c>
      <c r="G39" s="2449"/>
      <c r="H39" s="2450"/>
      <c r="I39" s="2450"/>
      <c r="J39" s="2451"/>
      <c r="K39" s="727">
        <v>0</v>
      </c>
      <c r="L39" s="424"/>
      <c r="M39" s="428">
        <v>0</v>
      </c>
      <c r="N39" s="407">
        <v>0</v>
      </c>
      <c r="O39" s="407">
        <v>0</v>
      </c>
      <c r="P39" s="429">
        <v>0</v>
      </c>
      <c r="Q39" s="355"/>
    </row>
    <row r="40" spans="2:17" ht="15.75" x14ac:dyDescent="0.25">
      <c r="B40" s="414"/>
      <c r="C40" s="821"/>
      <c r="D40" s="440"/>
      <c r="E40" s="821"/>
      <c r="F40" s="440" t="s">
        <v>476</v>
      </c>
      <c r="G40" s="2449"/>
      <c r="H40" s="2450"/>
      <c r="I40" s="2450"/>
      <c r="J40" s="2451"/>
      <c r="K40" s="727">
        <v>0</v>
      </c>
      <c r="L40" s="424"/>
      <c r="M40" s="428">
        <v>0</v>
      </c>
      <c r="N40" s="407">
        <v>0</v>
      </c>
      <c r="O40" s="407">
        <v>0</v>
      </c>
      <c r="P40" s="429">
        <v>0</v>
      </c>
      <c r="Q40" s="355"/>
    </row>
    <row r="41" spans="2:17" ht="15.75" x14ac:dyDescent="0.25">
      <c r="B41" s="414"/>
      <c r="C41" s="821"/>
      <c r="D41" s="440"/>
      <c r="E41" s="821"/>
      <c r="F41" s="440" t="s">
        <v>476</v>
      </c>
      <c r="G41" s="2449"/>
      <c r="H41" s="2450"/>
      <c r="I41" s="2450"/>
      <c r="J41" s="2451"/>
      <c r="K41" s="727">
        <v>0</v>
      </c>
      <c r="L41" s="424"/>
      <c r="M41" s="428">
        <v>0</v>
      </c>
      <c r="N41" s="407">
        <v>0</v>
      </c>
      <c r="O41" s="407">
        <v>0</v>
      </c>
      <c r="P41" s="429">
        <v>0</v>
      </c>
      <c r="Q41" s="355"/>
    </row>
    <row r="42" spans="2:17" ht="15.75" x14ac:dyDescent="0.25">
      <c r="B42" s="414"/>
      <c r="C42" s="821"/>
      <c r="D42" s="440"/>
      <c r="E42" s="821"/>
      <c r="F42" s="440" t="s">
        <v>400</v>
      </c>
      <c r="G42" s="821"/>
      <c r="H42" s="821"/>
      <c r="I42" s="821"/>
      <c r="J42" s="821"/>
      <c r="K42" s="728">
        <v>0</v>
      </c>
      <c r="L42" s="424"/>
      <c r="M42" s="430">
        <v>0</v>
      </c>
      <c r="N42" s="431">
        <v>0</v>
      </c>
      <c r="O42" s="431">
        <v>0</v>
      </c>
      <c r="P42" s="432">
        <v>0</v>
      </c>
      <c r="Q42" s="355"/>
    </row>
    <row r="43" spans="2:17" ht="16.5" thickBot="1" x14ac:dyDescent="0.3">
      <c r="B43" s="414"/>
      <c r="C43" s="422"/>
      <c r="D43" s="422"/>
      <c r="E43" s="423"/>
      <c r="F43" s="423"/>
      <c r="G43" s="423"/>
      <c r="H43" s="422"/>
      <c r="I43" s="422"/>
      <c r="J43" s="421"/>
      <c r="K43" s="433"/>
      <c r="L43" s="421"/>
      <c r="M43" s="434"/>
      <c r="N43" s="434"/>
      <c r="O43" s="434"/>
      <c r="P43" s="434"/>
      <c r="Q43" s="355"/>
    </row>
    <row r="44" spans="2:17" ht="17.25" thickTop="1" thickBot="1" x14ac:dyDescent="0.3">
      <c r="B44" s="414"/>
      <c r="C44" s="422"/>
      <c r="D44" s="422"/>
      <c r="E44" s="423"/>
      <c r="F44" s="423"/>
      <c r="G44" s="1311"/>
      <c r="H44" s="730"/>
      <c r="I44" s="378" t="s">
        <v>401</v>
      </c>
      <c r="J44" s="1657"/>
      <c r="K44" s="1318">
        <f>K30+(SUM(K33:K42))</f>
        <v>0</v>
      </c>
      <c r="L44" s="435"/>
      <c r="M44" s="1319">
        <f>M30+(SUM(M33:M43))</f>
        <v>0</v>
      </c>
      <c r="N44" s="1320">
        <f>N30+(SUM(N33:N43))</f>
        <v>0</v>
      </c>
      <c r="O44" s="1320">
        <f>O30+(SUM(O33:O43))</f>
        <v>0</v>
      </c>
      <c r="P44" s="1321">
        <f>P30+(SUM(P33:P43))</f>
        <v>0</v>
      </c>
      <c r="Q44" s="355"/>
    </row>
    <row r="45" spans="2:17" ht="16.5" thickBot="1" x14ac:dyDescent="0.3">
      <c r="B45" s="414"/>
      <c r="C45" s="422"/>
      <c r="D45" s="422"/>
      <c r="E45" s="423"/>
      <c r="F45" s="423"/>
      <c r="G45" s="729"/>
      <c r="H45" s="354"/>
      <c r="I45" s="354"/>
      <c r="J45" s="436"/>
      <c r="K45" s="436"/>
      <c r="L45" s="437"/>
      <c r="M45" s="436"/>
      <c r="N45" s="436"/>
      <c r="O45" s="436"/>
      <c r="P45" s="1312"/>
      <c r="Q45" s="355"/>
    </row>
    <row r="46" spans="2:17" ht="16.5" thickBot="1" x14ac:dyDescent="0.3">
      <c r="B46" s="394"/>
      <c r="C46" s="380" t="s">
        <v>657</v>
      </c>
      <c r="D46" s="381"/>
      <c r="E46" s="381"/>
      <c r="F46" s="381"/>
      <c r="G46" s="381"/>
      <c r="H46" s="381"/>
      <c r="I46" s="381"/>
      <c r="J46" s="381"/>
      <c r="K46" s="381"/>
      <c r="L46" s="381"/>
      <c r="M46" s="381"/>
      <c r="N46" s="381"/>
      <c r="O46" s="438"/>
      <c r="P46" s="1208"/>
      <c r="Q46" s="355"/>
    </row>
    <row r="47" spans="2:17" x14ac:dyDescent="0.25">
      <c r="B47" s="394"/>
      <c r="C47" s="2455" t="s">
        <v>1675</v>
      </c>
      <c r="D47" s="2456"/>
      <c r="E47" s="2456"/>
      <c r="F47" s="2456"/>
      <c r="G47" s="2456"/>
      <c r="H47" s="2456"/>
      <c r="I47" s="2456"/>
      <c r="J47" s="2456"/>
      <c r="K47" s="2456"/>
      <c r="L47" s="2456"/>
      <c r="M47" s="2456"/>
      <c r="N47" s="2456"/>
      <c r="O47" s="2457"/>
      <c r="P47" s="1208"/>
      <c r="Q47" s="355"/>
    </row>
    <row r="48" spans="2:17" x14ac:dyDescent="0.25">
      <c r="B48" s="394"/>
      <c r="C48" s="2458"/>
      <c r="D48" s="2113"/>
      <c r="E48" s="2113"/>
      <c r="F48" s="2113"/>
      <c r="G48" s="2113"/>
      <c r="H48" s="2113"/>
      <c r="I48" s="2113"/>
      <c r="J48" s="2113"/>
      <c r="K48" s="2113"/>
      <c r="L48" s="2113"/>
      <c r="M48" s="2113"/>
      <c r="N48" s="2113"/>
      <c r="O48" s="2459"/>
      <c r="P48" s="1208"/>
      <c r="Q48" s="355"/>
    </row>
    <row r="49" spans="2:17" x14ac:dyDescent="0.25">
      <c r="B49" s="394"/>
      <c r="C49" s="2458"/>
      <c r="D49" s="2113"/>
      <c r="E49" s="2113"/>
      <c r="F49" s="2113"/>
      <c r="G49" s="2113"/>
      <c r="H49" s="2113"/>
      <c r="I49" s="2113"/>
      <c r="J49" s="2113"/>
      <c r="K49" s="2113"/>
      <c r="L49" s="2113"/>
      <c r="M49" s="2113"/>
      <c r="N49" s="2113"/>
      <c r="O49" s="2459"/>
      <c r="P49" s="1208"/>
      <c r="Q49" s="355"/>
    </row>
    <row r="50" spans="2:17" x14ac:dyDescent="0.25">
      <c r="B50" s="394"/>
      <c r="C50" s="2458"/>
      <c r="D50" s="2113"/>
      <c r="E50" s="2113"/>
      <c r="F50" s="2113"/>
      <c r="G50" s="2113"/>
      <c r="H50" s="2113"/>
      <c r="I50" s="2113"/>
      <c r="J50" s="2113"/>
      <c r="K50" s="2113"/>
      <c r="L50" s="2113"/>
      <c r="M50" s="2113"/>
      <c r="N50" s="2113"/>
      <c r="O50" s="2459"/>
      <c r="P50" s="1208"/>
      <c r="Q50" s="355"/>
    </row>
    <row r="51" spans="2:17" ht="15.75" thickBot="1" x14ac:dyDescent="0.3">
      <c r="B51" s="394"/>
      <c r="C51" s="2460"/>
      <c r="D51" s="2461"/>
      <c r="E51" s="2461"/>
      <c r="F51" s="2461"/>
      <c r="G51" s="2461"/>
      <c r="H51" s="2461"/>
      <c r="I51" s="2461"/>
      <c r="J51" s="2461"/>
      <c r="K51" s="2461"/>
      <c r="L51" s="2461"/>
      <c r="M51" s="2461"/>
      <c r="N51" s="2461"/>
      <c r="O51" s="2462"/>
      <c r="P51" s="1208"/>
      <c r="Q51" s="355"/>
    </row>
    <row r="52" spans="2:17" ht="9" customHeight="1" thickBot="1" x14ac:dyDescent="0.3">
      <c r="B52" s="1307"/>
      <c r="C52" s="360"/>
      <c r="D52" s="360"/>
      <c r="E52" s="1313"/>
      <c r="F52" s="1313"/>
      <c r="G52" s="1314"/>
      <c r="H52" s="1315"/>
      <c r="I52" s="1315"/>
      <c r="J52" s="1316"/>
      <c r="K52" s="1314"/>
      <c r="L52" s="1314"/>
      <c r="M52" s="1317"/>
      <c r="N52" s="1313"/>
      <c r="O52" s="1314"/>
      <c r="P52" s="360"/>
      <c r="Q52" s="361"/>
    </row>
  </sheetData>
  <sheetProtection password="9F6B" sheet="1" objects="1" scenarios="1" formatCells="0" formatColumns="0" formatRows="0" insertRows="0"/>
  <mergeCells count="17">
    <mergeCell ref="C47:O51"/>
    <mergeCell ref="C30:G30"/>
    <mergeCell ref="C19:K19"/>
    <mergeCell ref="C21:D21"/>
    <mergeCell ref="C22:D22"/>
    <mergeCell ref="C23:D23"/>
    <mergeCell ref="C24:D24"/>
    <mergeCell ref="C25:D25"/>
    <mergeCell ref="C26:D26"/>
    <mergeCell ref="C27:D27"/>
    <mergeCell ref="C28:D28"/>
    <mergeCell ref="C29:D29"/>
    <mergeCell ref="C13:P13"/>
    <mergeCell ref="G39:J39"/>
    <mergeCell ref="G40:J40"/>
    <mergeCell ref="G41:J41"/>
    <mergeCell ref="M19:P19"/>
  </mergeCells>
  <pageMargins left="0.7" right="0.7" top="0.75" bottom="0.75" header="0.3" footer="0.3"/>
  <pageSetup scale="65" orientation="landscape" r:id="rId1"/>
  <headerFooter>
    <oddFooter>&amp;LForm 8D
Service Expenses&amp;CCFA Forms&amp;REdition: 2015
Version: 1.1</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O27"/>
  <sheetViews>
    <sheetView showGridLines="0" zoomScaleNormal="100" workbookViewId="0">
      <selection activeCell="M25" sqref="M25"/>
    </sheetView>
  </sheetViews>
  <sheetFormatPr defaultRowHeight="15" x14ac:dyDescent="0.25"/>
  <cols>
    <col min="1" max="2" width="1.7109375" style="918" customWidth="1"/>
    <col min="3" max="3" width="14.28515625" style="918" customWidth="1"/>
    <col min="4" max="4" width="7" style="918" bestFit="1" customWidth="1"/>
    <col min="5" max="8" width="9.140625" style="918"/>
    <col min="9" max="9" width="11" style="918" customWidth="1"/>
    <col min="10" max="11" width="9.140625" style="918"/>
    <col min="12" max="12" width="11.7109375" style="918" bestFit="1" customWidth="1"/>
    <col min="13" max="13" width="12" style="918" customWidth="1"/>
    <col min="14" max="14" width="11.42578125" style="918" customWidth="1"/>
    <col min="15" max="15" width="1.7109375" style="918" customWidth="1"/>
    <col min="16" max="16384" width="9.140625" style="918"/>
  </cols>
  <sheetData>
    <row r="1" spans="2:15" ht="9" customHeight="1" thickBot="1" x14ac:dyDescent="0.3"/>
    <row r="2" spans="2:15" ht="9" customHeight="1" x14ac:dyDescent="0.25">
      <c r="B2" s="353"/>
      <c r="C2" s="1503"/>
      <c r="D2" s="1503"/>
      <c r="E2" s="1504"/>
      <c r="F2" s="1504"/>
      <c r="G2" s="1503"/>
      <c r="H2" s="1503"/>
      <c r="I2" s="1503"/>
      <c r="J2" s="1503"/>
      <c r="K2" s="1503"/>
      <c r="L2" s="1503"/>
      <c r="M2" s="1503"/>
      <c r="N2" s="1503"/>
      <c r="O2" s="1505"/>
    </row>
    <row r="3" spans="2:15" ht="18.75" x14ac:dyDescent="0.25">
      <c r="B3" s="8"/>
      <c r="C3" s="2144" t="s">
        <v>1385</v>
      </c>
      <c r="D3" s="2144"/>
      <c r="E3" s="2144"/>
      <c r="F3" s="2144"/>
      <c r="G3" s="2144"/>
      <c r="H3" s="2144"/>
      <c r="I3" s="2144"/>
      <c r="J3" s="2144"/>
      <c r="K3" s="2144"/>
      <c r="L3" s="2144"/>
      <c r="M3" s="2144"/>
      <c r="N3" s="2144"/>
      <c r="O3" s="1506"/>
    </row>
    <row r="4" spans="2:15" x14ac:dyDescent="0.25">
      <c r="B4" s="8"/>
      <c r="C4" s="5"/>
      <c r="D4" s="5"/>
      <c r="E4" s="247"/>
      <c r="F4" s="247"/>
      <c r="G4" s="5"/>
      <c r="H4" s="5"/>
      <c r="I4" s="5"/>
      <c r="J4" s="5"/>
      <c r="K4" s="5"/>
      <c r="L4" s="5"/>
      <c r="M4" s="5"/>
      <c r="N4" s="5"/>
      <c r="O4" s="1506"/>
    </row>
    <row r="5" spans="2:15" x14ac:dyDescent="0.25">
      <c r="B5" s="1124"/>
      <c r="C5" s="922" t="s">
        <v>59</v>
      </c>
      <c r="D5" s="2397" t="str">
        <f>IF('1A'!G5="","Enter Project Name on Form 1A",'1A'!G5)</f>
        <v>University District Apartments</v>
      </c>
      <c r="E5" s="2397"/>
      <c r="F5" s="2397"/>
      <c r="G5" s="2397"/>
      <c r="H5" s="2397"/>
      <c r="I5" s="2397"/>
      <c r="J5" s="2397"/>
      <c r="K5" s="1123"/>
      <c r="L5" s="1123"/>
      <c r="M5" s="1123"/>
      <c r="N5" s="1123"/>
      <c r="O5" s="1198"/>
    </row>
    <row r="6" spans="2:15" ht="3.75" customHeight="1" x14ac:dyDescent="0.25">
      <c r="B6" s="8"/>
      <c r="C6" s="5"/>
      <c r="D6" s="5"/>
      <c r="E6" s="247"/>
      <c r="F6" s="247"/>
      <c r="G6" s="5"/>
      <c r="H6" s="5"/>
      <c r="I6" s="5"/>
      <c r="J6" s="5"/>
      <c r="K6" s="5"/>
      <c r="L6" s="5"/>
      <c r="M6" s="5"/>
      <c r="N6" s="5"/>
      <c r="O6" s="1506"/>
    </row>
    <row r="7" spans="2:15" x14ac:dyDescent="0.25">
      <c r="B7" s="1124"/>
      <c r="C7" s="922" t="s">
        <v>1400</v>
      </c>
      <c r="D7" s="2397" t="str">
        <f>IF('1A'!G44="","Enter Site Name on Form 1A",'1A'!G44)</f>
        <v>Project B - 9%</v>
      </c>
      <c r="E7" s="2397"/>
      <c r="F7" s="2397"/>
      <c r="G7" s="2397"/>
      <c r="H7" s="2397"/>
      <c r="I7" s="2397"/>
      <c r="J7" s="2397"/>
      <c r="K7" s="1123"/>
      <c r="L7" s="1123"/>
      <c r="M7" s="1123"/>
      <c r="N7" s="1123"/>
      <c r="O7" s="1198"/>
    </row>
    <row r="8" spans="2:15" ht="7.5" customHeight="1" thickBot="1" x14ac:dyDescent="0.3">
      <c r="B8" s="8"/>
      <c r="C8" s="5"/>
      <c r="D8" s="5"/>
      <c r="E8" s="247"/>
      <c r="F8" s="247"/>
      <c r="G8" s="5"/>
      <c r="H8" s="5"/>
      <c r="I8" s="5"/>
      <c r="J8" s="5"/>
      <c r="K8" s="5"/>
      <c r="L8" s="5"/>
      <c r="M8" s="5"/>
      <c r="N8" s="5"/>
      <c r="O8" s="1506"/>
    </row>
    <row r="9" spans="2:15" ht="45.75" thickBot="1" x14ac:dyDescent="0.3">
      <c r="B9" s="8"/>
      <c r="C9" s="1507" t="s">
        <v>353</v>
      </c>
      <c r="D9" s="1508" t="s">
        <v>658</v>
      </c>
      <c r="E9" s="1508" t="s">
        <v>354</v>
      </c>
      <c r="F9" s="1509" t="s">
        <v>1066</v>
      </c>
      <c r="G9" s="1510" t="s">
        <v>355</v>
      </c>
      <c r="H9" s="1508" t="s">
        <v>356</v>
      </c>
      <c r="I9" s="1510" t="s">
        <v>357</v>
      </c>
      <c r="J9" s="1510" t="s">
        <v>358</v>
      </c>
      <c r="K9" s="1508" t="s">
        <v>359</v>
      </c>
      <c r="L9" s="1510" t="s">
        <v>360</v>
      </c>
      <c r="M9" s="1510" t="s">
        <v>361</v>
      </c>
      <c r="N9" s="1511" t="s">
        <v>362</v>
      </c>
      <c r="O9" s="248"/>
    </row>
    <row r="10" spans="2:15" x14ac:dyDescent="0.25">
      <c r="B10" s="8"/>
      <c r="C10" s="1491">
        <v>0.3</v>
      </c>
      <c r="D10" s="1492">
        <v>10</v>
      </c>
      <c r="E10" s="1492" t="s">
        <v>39</v>
      </c>
      <c r="F10" s="1493">
        <v>428</v>
      </c>
      <c r="G10" s="1494">
        <v>436</v>
      </c>
      <c r="H10" s="1494">
        <v>35</v>
      </c>
      <c r="I10" s="1512">
        <f>G10+H10</f>
        <v>471</v>
      </c>
      <c r="J10" s="1494">
        <v>0</v>
      </c>
      <c r="K10" s="1512">
        <f>I10+J10</f>
        <v>471</v>
      </c>
      <c r="L10" s="1512">
        <f>D10*G10*12</f>
        <v>52320</v>
      </c>
      <c r="M10" s="1512">
        <f>D10*J10*12</f>
        <v>0</v>
      </c>
      <c r="N10" s="1513">
        <f>L10+M10</f>
        <v>52320</v>
      </c>
      <c r="O10" s="248"/>
    </row>
    <row r="11" spans="2:15" x14ac:dyDescent="0.25">
      <c r="B11" s="8"/>
      <c r="C11" s="1495">
        <v>0.5</v>
      </c>
      <c r="D11" s="1496">
        <v>2</v>
      </c>
      <c r="E11" s="1496" t="s">
        <v>39</v>
      </c>
      <c r="F11" s="1496">
        <v>428</v>
      </c>
      <c r="G11" s="1497">
        <v>750</v>
      </c>
      <c r="H11" s="1497">
        <v>35</v>
      </c>
      <c r="I11" s="1514">
        <f t="shared" ref="I11:I22" si="0">G11+H11</f>
        <v>785</v>
      </c>
      <c r="J11" s="1497">
        <v>0</v>
      </c>
      <c r="K11" s="1514">
        <f t="shared" ref="K11:K22" si="1">I11+J11</f>
        <v>785</v>
      </c>
      <c r="L11" s="1514">
        <f t="shared" ref="L11:L22" si="2">D11*G11*12</f>
        <v>18000</v>
      </c>
      <c r="M11" s="1514">
        <f t="shared" ref="M11:M22" si="3">D11*J11*12</f>
        <v>0</v>
      </c>
      <c r="N11" s="1515">
        <f t="shared" ref="N11:N22" si="4">L11+M11</f>
        <v>18000</v>
      </c>
      <c r="O11" s="248"/>
    </row>
    <row r="12" spans="2:15" x14ac:dyDescent="0.25">
      <c r="B12" s="8"/>
      <c r="C12" s="1495">
        <v>0.3</v>
      </c>
      <c r="D12" s="1496">
        <v>10</v>
      </c>
      <c r="E12" s="1496" t="s">
        <v>1274</v>
      </c>
      <c r="F12" s="1496">
        <v>540</v>
      </c>
      <c r="G12" s="1497">
        <v>470</v>
      </c>
      <c r="H12" s="1497">
        <v>35</v>
      </c>
      <c r="I12" s="1514">
        <f t="shared" si="0"/>
        <v>505</v>
      </c>
      <c r="J12" s="1497">
        <v>0</v>
      </c>
      <c r="K12" s="1514">
        <f t="shared" si="1"/>
        <v>505</v>
      </c>
      <c r="L12" s="1514">
        <f t="shared" si="2"/>
        <v>56400</v>
      </c>
      <c r="M12" s="1514">
        <f t="shared" si="3"/>
        <v>0</v>
      </c>
      <c r="N12" s="1515">
        <f t="shared" si="4"/>
        <v>56400</v>
      </c>
      <c r="O12" s="248"/>
    </row>
    <row r="13" spans="2:15" x14ac:dyDescent="0.25">
      <c r="B13" s="8"/>
      <c r="C13" s="1495">
        <v>0.5</v>
      </c>
      <c r="D13" s="1496">
        <v>11</v>
      </c>
      <c r="E13" s="1496" t="s">
        <v>1274</v>
      </c>
      <c r="F13" s="1496">
        <v>540</v>
      </c>
      <c r="G13" s="1497">
        <v>805</v>
      </c>
      <c r="H13" s="1497">
        <v>35</v>
      </c>
      <c r="I13" s="1514">
        <f t="shared" si="0"/>
        <v>840</v>
      </c>
      <c r="J13" s="1497">
        <v>0</v>
      </c>
      <c r="K13" s="1514">
        <f t="shared" si="1"/>
        <v>840</v>
      </c>
      <c r="L13" s="1514">
        <f t="shared" si="2"/>
        <v>106260</v>
      </c>
      <c r="M13" s="1514">
        <f t="shared" si="3"/>
        <v>0</v>
      </c>
      <c r="N13" s="1515">
        <f t="shared" si="4"/>
        <v>106260</v>
      </c>
      <c r="O13" s="1506"/>
    </row>
    <row r="14" spans="2:15" x14ac:dyDescent="0.25">
      <c r="B14" s="8"/>
      <c r="C14" s="1495">
        <v>0.3</v>
      </c>
      <c r="D14" s="1496">
        <v>12</v>
      </c>
      <c r="E14" s="1496" t="s">
        <v>1275</v>
      </c>
      <c r="F14" s="1496">
        <v>807</v>
      </c>
      <c r="G14" s="1497">
        <v>541</v>
      </c>
      <c r="H14" s="1497">
        <v>65</v>
      </c>
      <c r="I14" s="1514">
        <f t="shared" si="0"/>
        <v>606</v>
      </c>
      <c r="J14" s="1497">
        <v>0</v>
      </c>
      <c r="K14" s="1514">
        <f t="shared" si="1"/>
        <v>606</v>
      </c>
      <c r="L14" s="1514">
        <f t="shared" si="2"/>
        <v>77904</v>
      </c>
      <c r="M14" s="1514">
        <f t="shared" si="3"/>
        <v>0</v>
      </c>
      <c r="N14" s="1515">
        <f t="shared" si="4"/>
        <v>77904</v>
      </c>
      <c r="O14" s="1506"/>
    </row>
    <row r="15" spans="2:15" x14ac:dyDescent="0.25">
      <c r="B15" s="8"/>
      <c r="C15" s="1495">
        <v>0.3</v>
      </c>
      <c r="D15" s="1496">
        <v>8</v>
      </c>
      <c r="E15" s="1496" t="s">
        <v>1276</v>
      </c>
      <c r="F15" s="1496">
        <v>1077</v>
      </c>
      <c r="G15" s="1497">
        <v>605</v>
      </c>
      <c r="H15" s="1497">
        <v>95</v>
      </c>
      <c r="I15" s="1514">
        <f t="shared" si="0"/>
        <v>700</v>
      </c>
      <c r="J15" s="1497">
        <v>0</v>
      </c>
      <c r="K15" s="1514">
        <f t="shared" si="1"/>
        <v>700</v>
      </c>
      <c r="L15" s="1514">
        <f t="shared" si="2"/>
        <v>58080</v>
      </c>
      <c r="M15" s="1514">
        <f t="shared" si="3"/>
        <v>0</v>
      </c>
      <c r="N15" s="1515">
        <f t="shared" si="4"/>
        <v>58080</v>
      </c>
      <c r="O15" s="1506"/>
    </row>
    <row r="16" spans="2:15" x14ac:dyDescent="0.25">
      <c r="B16" s="8"/>
      <c r="C16" s="1495"/>
      <c r="D16" s="1496"/>
      <c r="E16" s="1496"/>
      <c r="F16" s="1496"/>
      <c r="G16" s="1497">
        <v>0</v>
      </c>
      <c r="H16" s="1497">
        <v>0</v>
      </c>
      <c r="I16" s="1514">
        <f t="shared" si="0"/>
        <v>0</v>
      </c>
      <c r="J16" s="1497">
        <v>0</v>
      </c>
      <c r="K16" s="1514">
        <f t="shared" si="1"/>
        <v>0</v>
      </c>
      <c r="L16" s="1514">
        <f t="shared" si="2"/>
        <v>0</v>
      </c>
      <c r="M16" s="1514">
        <f t="shared" si="3"/>
        <v>0</v>
      </c>
      <c r="N16" s="1515">
        <f t="shared" si="4"/>
        <v>0</v>
      </c>
      <c r="O16" s="1506"/>
    </row>
    <row r="17" spans="2:15" x14ac:dyDescent="0.25">
      <c r="B17" s="8"/>
      <c r="C17" s="1495"/>
      <c r="D17" s="1496"/>
      <c r="E17" s="1496"/>
      <c r="F17" s="1496"/>
      <c r="G17" s="1497">
        <v>0</v>
      </c>
      <c r="H17" s="1497">
        <v>0</v>
      </c>
      <c r="I17" s="1514">
        <f t="shared" si="0"/>
        <v>0</v>
      </c>
      <c r="J17" s="1497">
        <v>0</v>
      </c>
      <c r="K17" s="1514">
        <f t="shared" si="1"/>
        <v>0</v>
      </c>
      <c r="L17" s="1514">
        <f t="shared" si="2"/>
        <v>0</v>
      </c>
      <c r="M17" s="1514">
        <f t="shared" si="3"/>
        <v>0</v>
      </c>
      <c r="N17" s="1515">
        <f t="shared" si="4"/>
        <v>0</v>
      </c>
      <c r="O17" s="1506"/>
    </row>
    <row r="18" spans="2:15" x14ac:dyDescent="0.25">
      <c r="B18" s="8"/>
      <c r="C18" s="1495"/>
      <c r="D18" s="1496"/>
      <c r="E18" s="1496"/>
      <c r="F18" s="1496"/>
      <c r="G18" s="1497">
        <v>0</v>
      </c>
      <c r="H18" s="1497">
        <v>0</v>
      </c>
      <c r="I18" s="1514">
        <f t="shared" si="0"/>
        <v>0</v>
      </c>
      <c r="J18" s="1497">
        <v>0</v>
      </c>
      <c r="K18" s="1514">
        <f t="shared" si="1"/>
        <v>0</v>
      </c>
      <c r="L18" s="1514">
        <f t="shared" si="2"/>
        <v>0</v>
      </c>
      <c r="M18" s="1514">
        <f t="shared" si="3"/>
        <v>0</v>
      </c>
      <c r="N18" s="1515">
        <f t="shared" si="4"/>
        <v>0</v>
      </c>
      <c r="O18" s="1506"/>
    </row>
    <row r="19" spans="2:15" x14ac:dyDescent="0.25">
      <c r="B19" s="8"/>
      <c r="C19" s="1495"/>
      <c r="D19" s="1496"/>
      <c r="E19" s="1496"/>
      <c r="F19" s="1496"/>
      <c r="G19" s="1497">
        <v>0</v>
      </c>
      <c r="H19" s="1497">
        <v>0</v>
      </c>
      <c r="I19" s="1514">
        <f t="shared" si="0"/>
        <v>0</v>
      </c>
      <c r="J19" s="1497">
        <v>0</v>
      </c>
      <c r="K19" s="1514">
        <f t="shared" si="1"/>
        <v>0</v>
      </c>
      <c r="L19" s="1514">
        <f t="shared" si="2"/>
        <v>0</v>
      </c>
      <c r="M19" s="1514">
        <f t="shared" si="3"/>
        <v>0</v>
      </c>
      <c r="N19" s="1515">
        <f t="shared" si="4"/>
        <v>0</v>
      </c>
      <c r="O19" s="248"/>
    </row>
    <row r="20" spans="2:15" x14ac:dyDescent="0.25">
      <c r="B20" s="8"/>
      <c r="C20" s="1495"/>
      <c r="D20" s="1496"/>
      <c r="E20" s="1496"/>
      <c r="F20" s="1496"/>
      <c r="G20" s="1497">
        <v>0</v>
      </c>
      <c r="H20" s="1497">
        <v>0</v>
      </c>
      <c r="I20" s="1514">
        <f t="shared" si="0"/>
        <v>0</v>
      </c>
      <c r="J20" s="1497">
        <v>0</v>
      </c>
      <c r="K20" s="1514">
        <f t="shared" si="1"/>
        <v>0</v>
      </c>
      <c r="L20" s="1514">
        <f t="shared" si="2"/>
        <v>0</v>
      </c>
      <c r="M20" s="1514">
        <f t="shared" si="3"/>
        <v>0</v>
      </c>
      <c r="N20" s="1515">
        <f t="shared" si="4"/>
        <v>0</v>
      </c>
      <c r="O20" s="248"/>
    </row>
    <row r="21" spans="2:15" x14ac:dyDescent="0.25">
      <c r="B21" s="8"/>
      <c r="C21" s="1495"/>
      <c r="D21" s="1496"/>
      <c r="E21" s="1496"/>
      <c r="F21" s="1496"/>
      <c r="G21" s="1497">
        <v>0</v>
      </c>
      <c r="H21" s="1497">
        <v>0</v>
      </c>
      <c r="I21" s="1514">
        <f t="shared" si="0"/>
        <v>0</v>
      </c>
      <c r="J21" s="1497">
        <v>0</v>
      </c>
      <c r="K21" s="1514">
        <f t="shared" si="1"/>
        <v>0</v>
      </c>
      <c r="L21" s="1514">
        <f t="shared" si="2"/>
        <v>0</v>
      </c>
      <c r="M21" s="1514">
        <f t="shared" si="3"/>
        <v>0</v>
      </c>
      <c r="N21" s="1515">
        <f t="shared" si="4"/>
        <v>0</v>
      </c>
      <c r="O21" s="248"/>
    </row>
    <row r="22" spans="2:15" x14ac:dyDescent="0.25">
      <c r="B22" s="8"/>
      <c r="C22" s="1495"/>
      <c r="D22" s="1496"/>
      <c r="E22" s="1496"/>
      <c r="F22" s="1496"/>
      <c r="G22" s="1497">
        <v>0</v>
      </c>
      <c r="H22" s="1497">
        <v>0</v>
      </c>
      <c r="I22" s="1514">
        <f t="shared" si="0"/>
        <v>0</v>
      </c>
      <c r="J22" s="1497">
        <v>0</v>
      </c>
      <c r="K22" s="1514">
        <f t="shared" si="1"/>
        <v>0</v>
      </c>
      <c r="L22" s="1514">
        <f t="shared" si="2"/>
        <v>0</v>
      </c>
      <c r="M22" s="1514">
        <f t="shared" si="3"/>
        <v>0</v>
      </c>
      <c r="N22" s="1515">
        <f t="shared" si="4"/>
        <v>0</v>
      </c>
      <c r="O22" s="248"/>
    </row>
    <row r="23" spans="2:15" ht="24" x14ac:dyDescent="0.25">
      <c r="B23" s="8"/>
      <c r="C23" s="1516" t="s">
        <v>363</v>
      </c>
      <c r="D23" s="1498"/>
      <c r="E23" s="1496"/>
      <c r="F23" s="1498"/>
      <c r="G23" s="1517"/>
      <c r="H23" s="1518"/>
      <c r="I23" s="1518"/>
      <c r="J23" s="1518"/>
      <c r="K23" s="1518"/>
      <c r="L23" s="1518"/>
      <c r="M23" s="1518"/>
      <c r="N23" s="1519"/>
      <c r="O23" s="248"/>
    </row>
    <row r="24" spans="2:15" ht="24.75" thickBot="1" x14ac:dyDescent="0.3">
      <c r="B24" s="8"/>
      <c r="C24" s="1520" t="s">
        <v>659</v>
      </c>
      <c r="D24" s="1499"/>
      <c r="E24" s="1500"/>
      <c r="F24" s="1501"/>
      <c r="G24" s="1502">
        <v>0</v>
      </c>
      <c r="H24" s="1502">
        <v>0</v>
      </c>
      <c r="I24" s="1521">
        <f>G24+H24</f>
        <v>0</v>
      </c>
      <c r="J24" s="1502">
        <v>0</v>
      </c>
      <c r="K24" s="1521">
        <f>I24+J24</f>
        <v>0</v>
      </c>
      <c r="L24" s="1521">
        <f>D24*G24*12</f>
        <v>0</v>
      </c>
      <c r="M24" s="1521">
        <f>D24*J24*12</f>
        <v>0</v>
      </c>
      <c r="N24" s="1522">
        <f>L24+M24</f>
        <v>0</v>
      </c>
      <c r="O24" s="248"/>
    </row>
    <row r="25" spans="2:15" ht="16.5" thickTop="1" thickBot="1" x14ac:dyDescent="0.3">
      <c r="B25" s="8"/>
      <c r="C25" s="1523" t="s">
        <v>96</v>
      </c>
      <c r="D25" s="1524">
        <f>SUM(D10:D24)</f>
        <v>53</v>
      </c>
      <c r="E25" s="1525"/>
      <c r="F25" s="1526"/>
      <c r="G25" s="1527"/>
      <c r="H25" s="1527"/>
      <c r="I25" s="1528"/>
      <c r="J25" s="1528"/>
      <c r="K25" s="1528"/>
      <c r="L25" s="1529">
        <f>SUM(L10:L22)+L24</f>
        <v>368964</v>
      </c>
      <c r="M25" s="1530">
        <f>SUM(M10:M22)+M24</f>
        <v>0</v>
      </c>
      <c r="N25" s="1531">
        <f>SUM(N10:N22)+N24</f>
        <v>368964</v>
      </c>
      <c r="O25" s="248"/>
    </row>
    <row r="26" spans="2:15" x14ac:dyDescent="0.25">
      <c r="B26" s="8"/>
      <c r="C26" s="1532"/>
      <c r="D26" s="1533"/>
      <c r="E26" s="1534"/>
      <c r="F26" s="1534"/>
      <c r="G26" s="1534"/>
      <c r="H26" s="1534"/>
      <c r="I26" s="1534"/>
      <c r="J26" s="1534"/>
      <c r="K26" s="1534"/>
      <c r="L26" s="1535"/>
      <c r="M26" s="1536" t="str">
        <f>IF(M25&lt;&gt;'8B - 9%'!H20,"WARNING: Gross Rent Subsidy does not Match Rent Subsidy Sources (Form 8B)","")</f>
        <v/>
      </c>
      <c r="N26" s="1535"/>
      <c r="O26" s="248"/>
    </row>
    <row r="27" spans="2:15" ht="9" customHeight="1" thickBot="1" x14ac:dyDescent="0.3">
      <c r="B27" s="9"/>
      <c r="C27" s="1537"/>
      <c r="D27" s="1537"/>
      <c r="E27" s="1537"/>
      <c r="F27" s="1537"/>
      <c r="G27" s="1537"/>
      <c r="H27" s="1537"/>
      <c r="I27" s="1537"/>
      <c r="J27" s="1537"/>
      <c r="K27" s="1537"/>
      <c r="L27" s="1537"/>
      <c r="M27" s="1538"/>
      <c r="N27" s="1537"/>
      <c r="O27" s="11"/>
    </row>
  </sheetData>
  <sheetProtection password="9F6B" sheet="1" objects="1" scenarios="1" formatCells="0" formatColumns="0" formatRows="0" insertRows="0"/>
  <mergeCells count="3">
    <mergeCell ref="C3:N3"/>
    <mergeCell ref="D5:J5"/>
    <mergeCell ref="D7:J7"/>
  </mergeCells>
  <dataValidations count="2">
    <dataValidation type="list" allowBlank="1" showInputMessage="1" showErrorMessage="1" sqref="E10:E24">
      <formula1>"Beds,Studio,SRO,1 BR,2 BR,3 BR,4 BR,5+ BR"</formula1>
    </dataValidation>
    <dataValidation type="list" allowBlank="1" showInputMessage="1" showErrorMessage="1" sqref="C10:C22">
      <formula1>"25%,30%,35%,40%,45%,50%,55%,60%,65%,80%"</formula1>
    </dataValidation>
  </dataValidations>
  <pageMargins left="0.7" right="0.7" top="0.75" bottom="0.75" header="0.3" footer="0.3"/>
  <pageSetup scale="97" orientation="landscape" r:id="rId1"/>
  <headerFooter>
    <oddFooter>&amp;LForm 8A(b)
Proposed Rents and AMIs Served&amp;CCFA Forms&amp;REdition: 2015
Version: 1.1</oddFooter>
  </headerFooter>
  <extLst>
    <ext xmlns:x14="http://schemas.microsoft.com/office/spreadsheetml/2009/9/main" uri="{78C0D931-6437-407d-A8EE-F0AAD7539E65}">
      <x14:conditionalFormattings>
        <x14:conditionalFormatting xmlns:xm="http://schemas.microsoft.com/office/excel/2006/main">
          <x14:cfRule type="expression" priority="1" id="{41B6E225-CED7-425E-9256-3278D6649E06}">
            <xm:f>$M$25&lt;&gt;'8B - 9%'!$H$20</xm:f>
            <x14:dxf>
              <font>
                <color rgb="FF990000"/>
              </font>
              <fill>
                <patternFill>
                  <bgColor theme="5" tint="0.79998168889431442"/>
                </patternFill>
              </fill>
            </x14:dxf>
          </x14:cfRule>
          <xm:sqref>M25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5:J39"/>
  <sheetViews>
    <sheetView showGridLines="0" zoomScaleNormal="100" workbookViewId="0">
      <selection activeCell="Q11" sqref="Q11"/>
    </sheetView>
  </sheetViews>
  <sheetFormatPr defaultRowHeight="15" x14ac:dyDescent="0.25"/>
  <cols>
    <col min="1" max="2" width="1.7109375" style="839" customWidth="1"/>
    <col min="3" max="3" width="14.28515625" style="839" customWidth="1"/>
    <col min="4" max="4" width="28.5703125" style="839" customWidth="1"/>
    <col min="5" max="5" width="9.140625" style="839"/>
    <col min="6" max="8" width="17.140625" style="839" customWidth="1"/>
    <col min="9" max="9" width="20" style="839" customWidth="1"/>
    <col min="10" max="10" width="1.7109375" style="839" customWidth="1"/>
    <col min="11" max="16384" width="9.140625" style="839"/>
  </cols>
  <sheetData>
    <row r="5" spans="2:10" ht="9" customHeight="1" thickBot="1" x14ac:dyDescent="0.3"/>
    <row r="6" spans="2:10" ht="9" customHeight="1" x14ac:dyDescent="0.3">
      <c r="B6" s="1285"/>
      <c r="C6" s="1286"/>
      <c r="D6" s="1286"/>
      <c r="E6" s="1286"/>
      <c r="F6" s="1286"/>
      <c r="G6" s="1286"/>
      <c r="H6" s="1286"/>
      <c r="I6" s="1286"/>
      <c r="J6" s="1287"/>
    </row>
    <row r="7" spans="2:10" ht="18.75" x14ac:dyDescent="0.3">
      <c r="B7" s="1288"/>
      <c r="C7" s="2387" t="s">
        <v>1420</v>
      </c>
      <c r="D7" s="2387"/>
      <c r="E7" s="2387"/>
      <c r="F7" s="2387"/>
      <c r="G7" s="2387"/>
      <c r="H7" s="2387"/>
      <c r="I7" s="2387"/>
      <c r="J7" s="1194"/>
    </row>
    <row r="8" spans="2:10" ht="18.75" x14ac:dyDescent="0.3">
      <c r="B8" s="1288"/>
      <c r="C8" s="401"/>
      <c r="D8" s="401"/>
      <c r="E8" s="401"/>
      <c r="F8" s="401"/>
      <c r="G8" s="401"/>
      <c r="H8" s="401"/>
      <c r="I8" s="401"/>
      <c r="J8" s="1194"/>
    </row>
    <row r="9" spans="2:10" x14ac:dyDescent="0.25">
      <c r="B9" s="356"/>
      <c r="C9" s="1289" t="s">
        <v>59</v>
      </c>
      <c r="D9" s="1290" t="str">
        <f>IF('1A'!G5="","Enter Project Name on Form 1A",'1A'!G5)</f>
        <v>University District Apartments</v>
      </c>
      <c r="E9" s="1291"/>
      <c r="F9" s="1290"/>
      <c r="G9" s="1290"/>
      <c r="H9" s="354"/>
      <c r="I9" s="354"/>
      <c r="J9" s="355"/>
    </row>
    <row r="10" spans="2:10" ht="3.75" customHeight="1" x14ac:dyDescent="0.25">
      <c r="B10" s="356"/>
      <c r="C10" s="1289"/>
      <c r="D10" s="822"/>
      <c r="E10" s="2002"/>
      <c r="F10" s="822"/>
      <c r="G10" s="822"/>
      <c r="H10" s="942"/>
      <c r="I10" s="942"/>
      <c r="J10" s="944"/>
    </row>
    <row r="11" spans="2:10" x14ac:dyDescent="0.25">
      <c r="B11" s="356"/>
      <c r="C11" s="1289" t="s">
        <v>1400</v>
      </c>
      <c r="D11" s="1290" t="str">
        <f>IF('1A'!G44="","Enter Site Name on Form 1A",'1A'!G44)</f>
        <v>Project B - 9%</v>
      </c>
      <c r="E11" s="1291"/>
      <c r="F11" s="1290"/>
      <c r="G11" s="1290"/>
      <c r="H11" s="942"/>
      <c r="I11" s="942"/>
      <c r="J11" s="944"/>
    </row>
    <row r="12" spans="2:10" ht="7.5" customHeight="1" x14ac:dyDescent="0.25">
      <c r="B12" s="356"/>
      <c r="C12" s="822"/>
      <c r="D12" s="822"/>
      <c r="E12" s="822"/>
      <c r="F12" s="354"/>
      <c r="G12" s="354"/>
      <c r="H12" s="354"/>
      <c r="I12" s="354"/>
      <c r="J12" s="355"/>
    </row>
    <row r="13" spans="2:10" ht="15.75" thickBot="1" x14ac:dyDescent="0.3">
      <c r="B13" s="356"/>
      <c r="C13" s="1292" t="s">
        <v>364</v>
      </c>
      <c r="D13" s="1292"/>
      <c r="E13" s="822"/>
      <c r="F13" s="354"/>
      <c r="G13" s="354"/>
      <c r="H13" s="354"/>
      <c r="I13" s="354"/>
      <c r="J13" s="355"/>
    </row>
    <row r="14" spans="2:10" ht="15" customHeight="1" x14ac:dyDescent="0.25">
      <c r="B14" s="356"/>
      <c r="C14" s="2398" t="s">
        <v>313</v>
      </c>
      <c r="D14" s="2399"/>
      <c r="E14" s="2400"/>
      <c r="F14" s="2404" t="s">
        <v>365</v>
      </c>
      <c r="G14" s="2406" t="s">
        <v>366</v>
      </c>
      <c r="H14" s="2404" t="s">
        <v>367</v>
      </c>
      <c r="I14" s="2404" t="s">
        <v>368</v>
      </c>
      <c r="J14" s="355"/>
    </row>
    <row r="15" spans="2:10" ht="15.75" thickBot="1" x14ac:dyDescent="0.3">
      <c r="B15" s="356"/>
      <c r="C15" s="2401"/>
      <c r="D15" s="2402"/>
      <c r="E15" s="2403"/>
      <c r="F15" s="2405"/>
      <c r="G15" s="2407"/>
      <c r="H15" s="2405"/>
      <c r="I15" s="2405"/>
      <c r="J15" s="355"/>
    </row>
    <row r="16" spans="2:10" x14ac:dyDescent="0.25">
      <c r="B16" s="356"/>
      <c r="C16" s="2411"/>
      <c r="D16" s="2412"/>
      <c r="E16" s="2413"/>
      <c r="F16" s="1280"/>
      <c r="G16" s="1274">
        <v>0</v>
      </c>
      <c r="H16" s="366">
        <f>SUM(F16:G16)</f>
        <v>0</v>
      </c>
      <c r="I16" s="1762"/>
      <c r="J16" s="355"/>
    </row>
    <row r="17" spans="2:10" x14ac:dyDescent="0.25">
      <c r="B17" s="356"/>
      <c r="C17" s="2408"/>
      <c r="D17" s="2409"/>
      <c r="E17" s="2410"/>
      <c r="F17" s="1281"/>
      <c r="G17" s="1276">
        <v>0</v>
      </c>
      <c r="H17" s="367">
        <f>SUM(F17:G17)</f>
        <v>0</v>
      </c>
      <c r="I17" s="1763"/>
      <c r="J17" s="355"/>
    </row>
    <row r="18" spans="2:10" x14ac:dyDescent="0.25">
      <c r="B18" s="356"/>
      <c r="C18" s="2408"/>
      <c r="D18" s="2409"/>
      <c r="E18" s="2410"/>
      <c r="F18" s="1281"/>
      <c r="G18" s="1276">
        <v>0</v>
      </c>
      <c r="H18" s="367">
        <f>SUM(F18:G18)</f>
        <v>0</v>
      </c>
      <c r="I18" s="1763"/>
      <c r="J18" s="355"/>
    </row>
    <row r="19" spans="2:10" ht="15.75" thickBot="1" x14ac:dyDescent="0.3">
      <c r="B19" s="356"/>
      <c r="C19" s="2414"/>
      <c r="D19" s="2415"/>
      <c r="E19" s="2416"/>
      <c r="F19" s="1281"/>
      <c r="G19" s="1278">
        <v>0</v>
      </c>
      <c r="H19" s="368">
        <f>SUM(F19:G19)</f>
        <v>0</v>
      </c>
      <c r="I19" s="1764"/>
      <c r="J19" s="355"/>
    </row>
    <row r="20" spans="2:10" ht="16.5" thickTop="1" thickBot="1" x14ac:dyDescent="0.3">
      <c r="B20" s="356"/>
      <c r="C20" s="2417" t="s">
        <v>369</v>
      </c>
      <c r="D20" s="2418"/>
      <c r="E20" s="2419"/>
      <c r="F20" s="362">
        <f>SUM(F16:F19)</f>
        <v>0</v>
      </c>
      <c r="G20" s="362">
        <f>SUM(G16:G19)</f>
        <v>0</v>
      </c>
      <c r="H20" s="790">
        <f>SUM(H16:H19)</f>
        <v>0</v>
      </c>
      <c r="I20" s="1765"/>
      <c r="J20" s="355"/>
    </row>
    <row r="21" spans="2:10" x14ac:dyDescent="0.25">
      <c r="B21" s="356"/>
      <c r="C21" s="822"/>
      <c r="D21" s="822"/>
      <c r="E21" s="822"/>
      <c r="F21" s="354"/>
      <c r="G21" s="354"/>
      <c r="H21" s="357" t="s">
        <v>34</v>
      </c>
      <c r="I21" s="354"/>
      <c r="J21" s="355"/>
    </row>
    <row r="22" spans="2:10" ht="15.75" thickBot="1" x14ac:dyDescent="0.3">
      <c r="B22" s="356"/>
      <c r="C22" s="1292" t="s">
        <v>370</v>
      </c>
      <c r="D22" s="1292"/>
      <c r="E22" s="822"/>
      <c r="F22" s="354"/>
      <c r="G22" s="354"/>
      <c r="H22" s="354"/>
      <c r="I22" s="354"/>
      <c r="J22" s="355"/>
    </row>
    <row r="23" spans="2:10" x14ac:dyDescent="0.25">
      <c r="B23" s="356"/>
      <c r="C23" s="2398" t="s">
        <v>313</v>
      </c>
      <c r="D23" s="2420"/>
      <c r="E23" s="2400"/>
      <c r="F23" s="2423" t="s">
        <v>365</v>
      </c>
      <c r="G23" s="2423" t="s">
        <v>366</v>
      </c>
      <c r="H23" s="2423" t="s">
        <v>367</v>
      </c>
      <c r="I23" s="2423" t="s">
        <v>368</v>
      </c>
      <c r="J23" s="355"/>
    </row>
    <row r="24" spans="2:10" ht="15.75" thickBot="1" x14ac:dyDescent="0.3">
      <c r="B24" s="356"/>
      <c r="C24" s="2401"/>
      <c r="D24" s="2421"/>
      <c r="E24" s="2422"/>
      <c r="F24" s="2405"/>
      <c r="G24" s="2405"/>
      <c r="H24" s="2405"/>
      <c r="I24" s="2405"/>
      <c r="J24" s="355"/>
    </row>
    <row r="25" spans="2:10" x14ac:dyDescent="0.25">
      <c r="B25" s="356"/>
      <c r="C25" s="2411"/>
      <c r="D25" s="2412"/>
      <c r="E25" s="2413"/>
      <c r="F25" s="1280"/>
      <c r="G25" s="1280">
        <v>0</v>
      </c>
      <c r="H25" s="369">
        <f>SUM(F25:G25)</f>
        <v>0</v>
      </c>
      <c r="I25" s="1275"/>
      <c r="J25" s="355"/>
    </row>
    <row r="26" spans="2:10" x14ac:dyDescent="0.25">
      <c r="B26" s="356"/>
      <c r="C26" s="2408"/>
      <c r="D26" s="2409"/>
      <c r="E26" s="2410"/>
      <c r="F26" s="1281"/>
      <c r="G26" s="1281">
        <v>0</v>
      </c>
      <c r="H26" s="370">
        <f>SUM(F26:G26)</f>
        <v>0</v>
      </c>
      <c r="I26" s="1277"/>
      <c r="J26" s="355"/>
    </row>
    <row r="27" spans="2:10" x14ac:dyDescent="0.25">
      <c r="B27" s="356"/>
      <c r="C27" s="2408"/>
      <c r="D27" s="2409"/>
      <c r="E27" s="2410"/>
      <c r="F27" s="1281"/>
      <c r="G27" s="1281">
        <v>0</v>
      </c>
      <c r="H27" s="370">
        <f>SUM(F27:G27)</f>
        <v>0</v>
      </c>
      <c r="I27" s="1277"/>
      <c r="J27" s="355"/>
    </row>
    <row r="28" spans="2:10" x14ac:dyDescent="0.25">
      <c r="B28" s="356"/>
      <c r="C28" s="2427"/>
      <c r="D28" s="2428"/>
      <c r="E28" s="2429"/>
      <c r="F28" s="1281"/>
      <c r="G28" s="1281">
        <v>0</v>
      </c>
      <c r="H28" s="370">
        <f>SUM(F28:G28)</f>
        <v>0</v>
      </c>
      <c r="I28" s="1277"/>
      <c r="J28" s="355"/>
    </row>
    <row r="29" spans="2:10" ht="15.75" thickBot="1" x14ac:dyDescent="0.3">
      <c r="B29" s="356"/>
      <c r="C29" s="2430"/>
      <c r="D29" s="2431"/>
      <c r="E29" s="2432"/>
      <c r="F29" s="1282"/>
      <c r="G29" s="1282">
        <v>0</v>
      </c>
      <c r="H29" s="371">
        <f>SUM(F29:G29)</f>
        <v>0</v>
      </c>
      <c r="I29" s="1279"/>
      <c r="J29" s="355"/>
    </row>
    <row r="30" spans="2:10" ht="16.5" thickTop="1" thickBot="1" x14ac:dyDescent="0.3">
      <c r="B30" s="356"/>
      <c r="C30" s="2417" t="s">
        <v>660</v>
      </c>
      <c r="D30" s="2418"/>
      <c r="E30" s="2419"/>
      <c r="F30" s="363">
        <f>SUM(F25:F29)</f>
        <v>0</v>
      </c>
      <c r="G30" s="363">
        <f>SUM(G25:G29)</f>
        <v>0</v>
      </c>
      <c r="H30" s="364">
        <f>SUM(H25:H29)</f>
        <v>0</v>
      </c>
      <c r="I30" s="1283"/>
      <c r="J30" s="355"/>
    </row>
    <row r="31" spans="2:10" x14ac:dyDescent="0.25">
      <c r="B31" s="356"/>
      <c r="C31" s="822"/>
      <c r="D31" s="822"/>
      <c r="E31" s="822"/>
      <c r="F31" s="354"/>
      <c r="G31" s="354"/>
      <c r="H31" s="354"/>
      <c r="I31" s="354"/>
      <c r="J31" s="355"/>
    </row>
    <row r="32" spans="2:10" ht="15.75" thickBot="1" x14ac:dyDescent="0.3">
      <c r="B32" s="356"/>
      <c r="C32" s="1292" t="s">
        <v>372</v>
      </c>
      <c r="D32" s="1292"/>
      <c r="E32" s="822"/>
      <c r="F32" s="354"/>
      <c r="G32" s="354"/>
      <c r="H32" s="354"/>
      <c r="I32" s="354"/>
      <c r="J32" s="355"/>
    </row>
    <row r="33" spans="2:10" x14ac:dyDescent="0.25">
      <c r="B33" s="356"/>
      <c r="C33" s="2398" t="s">
        <v>313</v>
      </c>
      <c r="D33" s="2420"/>
      <c r="E33" s="2400"/>
      <c r="F33" s="2423" t="s">
        <v>365</v>
      </c>
      <c r="G33" s="2423" t="s">
        <v>366</v>
      </c>
      <c r="H33" s="2423" t="s">
        <v>367</v>
      </c>
      <c r="I33" s="2423" t="s">
        <v>368</v>
      </c>
      <c r="J33" s="355"/>
    </row>
    <row r="34" spans="2:10" ht="15.75" thickBot="1" x14ac:dyDescent="0.3">
      <c r="B34" s="356"/>
      <c r="C34" s="2401"/>
      <c r="D34" s="2421"/>
      <c r="E34" s="2422"/>
      <c r="F34" s="2405"/>
      <c r="G34" s="2405"/>
      <c r="H34" s="2405"/>
      <c r="I34" s="2405"/>
      <c r="J34" s="355"/>
    </row>
    <row r="35" spans="2:10" ht="27" customHeight="1" x14ac:dyDescent="0.25">
      <c r="B35" s="356"/>
      <c r="C35" s="2411" t="s">
        <v>1580</v>
      </c>
      <c r="D35" s="2471"/>
      <c r="E35" s="2413"/>
      <c r="F35" s="1274">
        <f>240456*0.95</f>
        <v>228433.19999999998</v>
      </c>
      <c r="G35" s="1274">
        <v>0</v>
      </c>
      <c r="H35" s="366">
        <f>SUM(F35:G35)</f>
        <v>228433.19999999998</v>
      </c>
      <c r="I35" s="1275"/>
      <c r="J35" s="355"/>
    </row>
    <row r="36" spans="2:10" x14ac:dyDescent="0.25">
      <c r="B36" s="356"/>
      <c r="C36" s="2427"/>
      <c r="D36" s="2428"/>
      <c r="E36" s="2429"/>
      <c r="F36" s="1276">
        <v>0</v>
      </c>
      <c r="G36" s="1276">
        <v>0</v>
      </c>
      <c r="H36" s="367">
        <f>SUM(F36:G36)</f>
        <v>0</v>
      </c>
      <c r="I36" s="1277"/>
      <c r="J36" s="355"/>
    </row>
    <row r="37" spans="2:10" ht="15.75" thickBot="1" x14ac:dyDescent="0.3">
      <c r="B37" s="356"/>
      <c r="C37" s="2430"/>
      <c r="D37" s="2431"/>
      <c r="E37" s="2432"/>
      <c r="F37" s="1278">
        <v>0</v>
      </c>
      <c r="G37" s="1278">
        <v>0</v>
      </c>
      <c r="H37" s="368">
        <f>SUM(F37:G37)</f>
        <v>0</v>
      </c>
      <c r="I37" s="1279"/>
      <c r="J37" s="355"/>
    </row>
    <row r="38" spans="2:10" ht="16.5" thickTop="1" thickBot="1" x14ac:dyDescent="0.3">
      <c r="B38" s="356"/>
      <c r="C38" s="2417" t="s">
        <v>661</v>
      </c>
      <c r="D38" s="2418"/>
      <c r="E38" s="2419"/>
      <c r="F38" s="362">
        <f>SUM(F35:F37)</f>
        <v>228433.19999999998</v>
      </c>
      <c r="G38" s="362">
        <f>SUM(G35:G37)</f>
        <v>0</v>
      </c>
      <c r="H38" s="365">
        <f>SUM(H35:H37)</f>
        <v>228433.19999999998</v>
      </c>
      <c r="I38" s="1284"/>
      <c r="J38" s="355"/>
    </row>
    <row r="39" spans="2:10" ht="9" customHeight="1" thickBot="1" x14ac:dyDescent="0.3">
      <c r="B39" s="358"/>
      <c r="C39" s="359"/>
      <c r="D39" s="359"/>
      <c r="E39" s="359"/>
      <c r="F39" s="360"/>
      <c r="G39" s="360"/>
      <c r="H39" s="360"/>
      <c r="I39" s="360"/>
      <c r="J39" s="361"/>
    </row>
  </sheetData>
  <sheetProtection password="9F6B" sheet="1" objects="1" scenarios="1" formatCells="0" formatColumns="0" formatRows="0" insertRows="0"/>
  <mergeCells count="31">
    <mergeCell ref="I33:I34"/>
    <mergeCell ref="F14:F15"/>
    <mergeCell ref="G14:G15"/>
    <mergeCell ref="H14:H15"/>
    <mergeCell ref="I14:I15"/>
    <mergeCell ref="I23:I24"/>
    <mergeCell ref="C33:E34"/>
    <mergeCell ref="C14:E15"/>
    <mergeCell ref="F33:F34"/>
    <mergeCell ref="G33:G34"/>
    <mergeCell ref="H33:H34"/>
    <mergeCell ref="H23:H24"/>
    <mergeCell ref="G23:G24"/>
    <mergeCell ref="F23:F24"/>
    <mergeCell ref="C23:E24"/>
    <mergeCell ref="C7:I7"/>
    <mergeCell ref="C30:E30"/>
    <mergeCell ref="C38:E38"/>
    <mergeCell ref="C20:E20"/>
    <mergeCell ref="C35:E35"/>
    <mergeCell ref="C36:E36"/>
    <mergeCell ref="C37:E37"/>
    <mergeCell ref="C28:E28"/>
    <mergeCell ref="C29:E29"/>
    <mergeCell ref="C16:E16"/>
    <mergeCell ref="C17:E17"/>
    <mergeCell ref="C25:E25"/>
    <mergeCell ref="C26:E26"/>
    <mergeCell ref="C27:E27"/>
    <mergeCell ref="C18:E18"/>
    <mergeCell ref="C19:E19"/>
  </mergeCells>
  <pageMargins left="0.7" right="0.7" top="0.75" bottom="0.75" header="0.3" footer="0.3"/>
  <pageSetup scale="96" orientation="landscape" r:id="rId1"/>
  <headerFooter>
    <oddFooter>&amp;LForm 8B
Operating, Service and Rent Subsidy Sources&amp;CCFA Forms&amp;REdition: 2015
Version: 1.1</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7:N41"/>
  <sheetViews>
    <sheetView showGridLines="0" zoomScaleNormal="100" workbookViewId="0">
      <selection activeCell="N39" sqref="N39"/>
    </sheetView>
  </sheetViews>
  <sheetFormatPr defaultRowHeight="15" x14ac:dyDescent="0.25"/>
  <cols>
    <col min="1" max="2" width="1.7109375" style="918" customWidth="1"/>
    <col min="3" max="3" width="14.28515625" style="918" customWidth="1"/>
    <col min="4" max="4" width="18.140625" style="918" customWidth="1"/>
    <col min="5" max="5" width="14.28515625" style="918" customWidth="1"/>
    <col min="6" max="6" width="11.42578125" style="918" customWidth="1"/>
    <col min="7" max="7" width="9.140625" style="918"/>
    <col min="8" max="8" width="11.42578125" style="918" customWidth="1"/>
    <col min="9" max="9" width="9.140625" style="918"/>
    <col min="10" max="11" width="11.42578125" style="918" customWidth="1"/>
    <col min="12" max="13" width="1.7109375" style="918" customWidth="1"/>
    <col min="14" max="16384" width="9.140625" style="918"/>
  </cols>
  <sheetData>
    <row r="7" spans="2:12" ht="13.5" customHeight="1" thickBot="1" x14ac:dyDescent="0.3"/>
    <row r="8" spans="2:12" ht="9" customHeight="1" x14ac:dyDescent="0.25">
      <c r="B8" s="386"/>
      <c r="C8" s="387"/>
      <c r="D8" s="387"/>
      <c r="E8" s="388"/>
      <c r="F8" s="388"/>
      <c r="G8" s="389"/>
      <c r="H8" s="390"/>
      <c r="I8" s="390"/>
      <c r="J8" s="391"/>
      <c r="K8" s="389"/>
      <c r="L8" s="393"/>
    </row>
    <row r="9" spans="2:12" ht="18.75" x14ac:dyDescent="0.3">
      <c r="B9" s="394"/>
      <c r="C9" s="2130" t="s">
        <v>1423</v>
      </c>
      <c r="D9" s="2130"/>
      <c r="E9" s="2130"/>
      <c r="F9" s="2130"/>
      <c r="G9" s="2130"/>
      <c r="H9" s="2130"/>
      <c r="I9" s="2130"/>
      <c r="J9" s="2130"/>
      <c r="K9" s="2130"/>
      <c r="L9" s="944"/>
    </row>
    <row r="10" spans="2:12" x14ac:dyDescent="0.25">
      <c r="B10" s="394"/>
      <c r="C10" s="942"/>
      <c r="D10" s="942"/>
      <c r="E10" s="948"/>
      <c r="F10" s="948"/>
      <c r="G10" s="396"/>
      <c r="H10" s="397"/>
      <c r="I10" s="397"/>
      <c r="J10" s="398"/>
      <c r="K10" s="396"/>
      <c r="L10" s="944"/>
    </row>
    <row r="11" spans="2:12" x14ac:dyDescent="0.25">
      <c r="B11" s="394"/>
      <c r="C11" s="1293" t="s">
        <v>1</v>
      </c>
      <c r="D11" s="1995" t="str">
        <f>IF('1A'!G5="","Enter Project Name on Form 1A",'1A'!G5)</f>
        <v>University District Apartments</v>
      </c>
      <c r="E11" s="1995"/>
      <c r="F11" s="1995"/>
      <c r="G11" s="1995"/>
      <c r="H11" s="1995"/>
      <c r="I11" s="1294"/>
      <c r="J11" s="247"/>
      <c r="K11" s="247"/>
      <c r="L11" s="944"/>
    </row>
    <row r="12" spans="2:12" ht="3.75" customHeight="1" x14ac:dyDescent="0.25">
      <c r="B12" s="394"/>
      <c r="C12" s="1293"/>
      <c r="D12" s="1123"/>
      <c r="E12" s="1123"/>
      <c r="F12" s="1123"/>
      <c r="G12" s="1123"/>
      <c r="H12" s="1123"/>
      <c r="I12" s="247"/>
      <c r="J12" s="247"/>
      <c r="K12" s="247"/>
      <c r="L12" s="944"/>
    </row>
    <row r="13" spans="2:12" x14ac:dyDescent="0.25">
      <c r="B13" s="394"/>
      <c r="C13" s="1293" t="s">
        <v>1397</v>
      </c>
      <c r="D13" s="1995" t="str">
        <f>IF('1A'!G44="","Enter Site Name on Form 1A",'1A'!G44)</f>
        <v>Project B - 9%</v>
      </c>
      <c r="E13" s="1995"/>
      <c r="F13" s="1995"/>
      <c r="G13" s="1995"/>
      <c r="H13" s="1995"/>
      <c r="I13" s="1294"/>
      <c r="J13" s="247"/>
      <c r="K13" s="247"/>
      <c r="L13" s="944"/>
    </row>
    <row r="14" spans="2:12" ht="7.5" customHeight="1" thickBot="1" x14ac:dyDescent="0.3">
      <c r="B14" s="394"/>
      <c r="C14" s="1994"/>
      <c r="D14" s="1994"/>
      <c r="E14" s="1994"/>
      <c r="F14" s="1994"/>
      <c r="G14" s="1994"/>
      <c r="H14" s="1994"/>
      <c r="I14" s="1994"/>
      <c r="J14" s="1994"/>
      <c r="K14" s="1994"/>
      <c r="L14" s="944"/>
    </row>
    <row r="15" spans="2:12" ht="16.5" thickBot="1" x14ac:dyDescent="0.3">
      <c r="B15" s="394"/>
      <c r="C15" s="1295" t="s">
        <v>373</v>
      </c>
      <c r="D15" s="1296"/>
      <c r="E15" s="1296"/>
      <c r="F15" s="1296"/>
      <c r="G15" s="1296"/>
      <c r="H15" s="1296"/>
      <c r="I15" s="1296"/>
      <c r="J15" s="1296"/>
      <c r="K15" s="1297"/>
      <c r="L15" s="944"/>
    </row>
    <row r="16" spans="2:12" ht="78" thickBot="1" x14ac:dyDescent="0.3">
      <c r="B16" s="394"/>
      <c r="C16" s="2445" t="s">
        <v>374</v>
      </c>
      <c r="D16" s="2446"/>
      <c r="E16" s="1298" t="s">
        <v>375</v>
      </c>
      <c r="F16" s="1299" t="s">
        <v>376</v>
      </c>
      <c r="G16" s="1300" t="s">
        <v>377</v>
      </c>
      <c r="H16" s="1299" t="s">
        <v>378</v>
      </c>
      <c r="I16" s="1299" t="s">
        <v>379</v>
      </c>
      <c r="J16" s="1300" t="s">
        <v>380</v>
      </c>
      <c r="K16" s="1301" t="s">
        <v>381</v>
      </c>
      <c r="L16" s="944"/>
    </row>
    <row r="17" spans="2:12" x14ac:dyDescent="0.25">
      <c r="B17" s="403"/>
      <c r="C17" s="2443" t="s">
        <v>1573</v>
      </c>
      <c r="D17" s="2444"/>
      <c r="E17" s="766" t="s">
        <v>1572</v>
      </c>
      <c r="F17" s="767">
        <v>15272</v>
      </c>
      <c r="G17" s="768">
        <v>1</v>
      </c>
      <c r="H17" s="769">
        <f>F17*G17</f>
        <v>15272</v>
      </c>
      <c r="I17" s="768">
        <v>0.41</v>
      </c>
      <c r="J17" s="769">
        <f>H17*I17</f>
        <v>6261.5199999999995</v>
      </c>
      <c r="K17" s="770">
        <f>H17+J17</f>
        <v>21533.52</v>
      </c>
      <c r="L17" s="405"/>
    </row>
    <row r="18" spans="2:12" x14ac:dyDescent="0.25">
      <c r="B18" s="394"/>
      <c r="C18" s="2433" t="s">
        <v>1574</v>
      </c>
      <c r="D18" s="2434"/>
      <c r="E18" s="373" t="s">
        <v>1572</v>
      </c>
      <c r="F18" s="374">
        <v>7970</v>
      </c>
      <c r="G18" s="243">
        <v>1</v>
      </c>
      <c r="H18" s="382">
        <f>F18*G18</f>
        <v>7970</v>
      </c>
      <c r="I18" s="243">
        <v>0.41</v>
      </c>
      <c r="J18" s="382">
        <f>H18*I18</f>
        <v>3267.7</v>
      </c>
      <c r="K18" s="384">
        <f>H18+J18</f>
        <v>11237.7</v>
      </c>
      <c r="L18" s="409"/>
    </row>
    <row r="19" spans="2:12" x14ac:dyDescent="0.25">
      <c r="B19" s="394"/>
      <c r="C19" s="2433" t="s">
        <v>1575</v>
      </c>
      <c r="D19" s="2434"/>
      <c r="E19" s="373" t="s">
        <v>1572</v>
      </c>
      <c r="F19" s="374">
        <v>12752</v>
      </c>
      <c r="G19" s="243">
        <v>1</v>
      </c>
      <c r="H19" s="382">
        <f>F19*G19</f>
        <v>12752</v>
      </c>
      <c r="I19" s="243">
        <v>0.41</v>
      </c>
      <c r="J19" s="382">
        <f>H19*I19</f>
        <v>5228.32</v>
      </c>
      <c r="K19" s="384">
        <f>H19+J19</f>
        <v>17980.32</v>
      </c>
      <c r="L19" s="409"/>
    </row>
    <row r="20" spans="2:12" x14ac:dyDescent="0.25">
      <c r="B20" s="394"/>
      <c r="C20" s="2433" t="s">
        <v>1576</v>
      </c>
      <c r="D20" s="2434"/>
      <c r="E20" s="373" t="s">
        <v>1572</v>
      </c>
      <c r="F20" s="374">
        <f>9165*2</f>
        <v>18330</v>
      </c>
      <c r="G20" s="243">
        <v>0.5</v>
      </c>
      <c r="H20" s="382">
        <f>F20*G20</f>
        <v>9165</v>
      </c>
      <c r="I20" s="243">
        <v>0.41</v>
      </c>
      <c r="J20" s="382">
        <f>H20*I20</f>
        <v>3757.6499999999996</v>
      </c>
      <c r="K20" s="384">
        <f>H20+J20</f>
        <v>12922.65</v>
      </c>
      <c r="L20" s="944"/>
    </row>
    <row r="21" spans="2:12" ht="15.75" thickBot="1" x14ac:dyDescent="0.3">
      <c r="B21" s="394"/>
      <c r="C21" s="2435"/>
      <c r="D21" s="2436"/>
      <c r="E21" s="375"/>
      <c r="F21" s="376">
        <v>0</v>
      </c>
      <c r="G21" s="244">
        <v>0</v>
      </c>
      <c r="H21" s="383">
        <f>F21*G21</f>
        <v>0</v>
      </c>
      <c r="I21" s="244">
        <v>0</v>
      </c>
      <c r="J21" s="383">
        <f>H21*I21</f>
        <v>0</v>
      </c>
      <c r="K21" s="385">
        <f>H21+J21</f>
        <v>0</v>
      </c>
      <c r="L21" s="944"/>
    </row>
    <row r="22" spans="2:12" ht="17.25" thickTop="1" thickBot="1" x14ac:dyDescent="0.3">
      <c r="B22" s="394"/>
      <c r="C22" s="378" t="s">
        <v>382</v>
      </c>
      <c r="D22" s="379"/>
      <c r="E22" s="379"/>
      <c r="F22" s="379"/>
      <c r="G22" s="379"/>
      <c r="H22" s="241"/>
      <c r="I22" s="241"/>
      <c r="J22" s="242"/>
      <c r="K22" s="245">
        <f>SUM(K17:K21)</f>
        <v>63674.19</v>
      </c>
      <c r="L22" s="944"/>
    </row>
    <row r="23" spans="2:12" ht="15" customHeight="1" thickBot="1" x14ac:dyDescent="0.3">
      <c r="B23" s="394"/>
      <c r="C23" s="1302"/>
      <c r="D23" s="942"/>
      <c r="E23" s="948"/>
      <c r="F23" s="1303"/>
      <c r="G23" s="1304"/>
      <c r="H23" s="1303"/>
      <c r="I23" s="1304"/>
      <c r="J23" s="1303"/>
      <c r="K23" s="1303"/>
      <c r="L23" s="1305"/>
    </row>
    <row r="24" spans="2:12" ht="16.5" thickBot="1" x14ac:dyDescent="0.3">
      <c r="B24" s="394"/>
      <c r="C24" s="2437" t="s">
        <v>383</v>
      </c>
      <c r="D24" s="2438"/>
      <c r="E24" s="2438"/>
      <c r="F24" s="2438"/>
      <c r="G24" s="2438"/>
      <c r="H24" s="2438"/>
      <c r="I24" s="2438"/>
      <c r="J24" s="2438"/>
      <c r="K24" s="2439"/>
      <c r="L24" s="944"/>
    </row>
    <row r="25" spans="2:12" ht="78" thickBot="1" x14ac:dyDescent="0.3">
      <c r="B25" s="394"/>
      <c r="C25" s="2445" t="s">
        <v>374</v>
      </c>
      <c r="D25" s="2446"/>
      <c r="E25" s="1298" t="s">
        <v>375</v>
      </c>
      <c r="F25" s="1299" t="s">
        <v>376</v>
      </c>
      <c r="G25" s="1300" t="s">
        <v>377</v>
      </c>
      <c r="H25" s="1299" t="s">
        <v>378</v>
      </c>
      <c r="I25" s="1299" t="s">
        <v>379</v>
      </c>
      <c r="J25" s="1300" t="s">
        <v>380</v>
      </c>
      <c r="K25" s="1301" t="s">
        <v>381</v>
      </c>
      <c r="L25" s="944"/>
    </row>
    <row r="26" spans="2:12" x14ac:dyDescent="0.25">
      <c r="B26" s="403"/>
      <c r="C26" s="2447"/>
      <c r="D26" s="2448"/>
      <c r="E26" s="771"/>
      <c r="F26" s="767">
        <v>0</v>
      </c>
      <c r="G26" s="768">
        <v>0</v>
      </c>
      <c r="H26" s="769">
        <f>F26*G26</f>
        <v>0</v>
      </c>
      <c r="I26" s="768">
        <v>0</v>
      </c>
      <c r="J26" s="769">
        <f>H26*I26</f>
        <v>0</v>
      </c>
      <c r="K26" s="770">
        <f>H26+J26</f>
        <v>0</v>
      </c>
      <c r="L26" s="405"/>
    </row>
    <row r="27" spans="2:12" x14ac:dyDescent="0.25">
      <c r="B27" s="394"/>
      <c r="C27" s="2433"/>
      <c r="D27" s="2434"/>
      <c r="E27" s="373"/>
      <c r="F27" s="374">
        <v>0</v>
      </c>
      <c r="G27" s="243">
        <v>0</v>
      </c>
      <c r="H27" s="382">
        <f>F27*G27</f>
        <v>0</v>
      </c>
      <c r="I27" s="243">
        <v>0</v>
      </c>
      <c r="J27" s="382">
        <f>H27*I27</f>
        <v>0</v>
      </c>
      <c r="K27" s="384">
        <f>H27+J27</f>
        <v>0</v>
      </c>
      <c r="L27" s="944"/>
    </row>
    <row r="28" spans="2:12" x14ac:dyDescent="0.25">
      <c r="B28" s="394"/>
      <c r="C28" s="2433"/>
      <c r="D28" s="2434"/>
      <c r="E28" s="373"/>
      <c r="F28" s="374">
        <v>0</v>
      </c>
      <c r="G28" s="243">
        <v>0</v>
      </c>
      <c r="H28" s="382">
        <f>F28*G28</f>
        <v>0</v>
      </c>
      <c r="I28" s="243">
        <v>0</v>
      </c>
      <c r="J28" s="382">
        <f>H28*I28</f>
        <v>0</v>
      </c>
      <c r="K28" s="384">
        <f>H28+J28</f>
        <v>0</v>
      </c>
      <c r="L28" s="409"/>
    </row>
    <row r="29" spans="2:12" x14ac:dyDescent="0.25">
      <c r="B29" s="394"/>
      <c r="C29" s="2433"/>
      <c r="D29" s="2434"/>
      <c r="E29" s="373"/>
      <c r="F29" s="374">
        <v>0</v>
      </c>
      <c r="G29" s="243">
        <v>0</v>
      </c>
      <c r="H29" s="382">
        <f>F29*G29</f>
        <v>0</v>
      </c>
      <c r="I29" s="243">
        <v>0</v>
      </c>
      <c r="J29" s="382">
        <f>H29*I29</f>
        <v>0</v>
      </c>
      <c r="K29" s="384">
        <f>H29+J29</f>
        <v>0</v>
      </c>
      <c r="L29" s="944"/>
    </row>
    <row r="30" spans="2:12" ht="15.75" thickBot="1" x14ac:dyDescent="0.3">
      <c r="B30" s="394"/>
      <c r="C30" s="2435"/>
      <c r="D30" s="2436"/>
      <c r="E30" s="375"/>
      <c r="F30" s="377">
        <v>0</v>
      </c>
      <c r="G30" s="244">
        <v>0</v>
      </c>
      <c r="H30" s="383">
        <f>F30*G30</f>
        <v>0</v>
      </c>
      <c r="I30" s="244">
        <v>0</v>
      </c>
      <c r="J30" s="383">
        <f>H30*I30</f>
        <v>0</v>
      </c>
      <c r="K30" s="385">
        <f>H30+J30</f>
        <v>0</v>
      </c>
      <c r="L30" s="944"/>
    </row>
    <row r="31" spans="2:12" ht="17.25" thickTop="1" thickBot="1" x14ac:dyDescent="0.3">
      <c r="B31" s="394"/>
      <c r="C31" s="378" t="s">
        <v>384</v>
      </c>
      <c r="D31" s="379"/>
      <c r="E31" s="379"/>
      <c r="F31" s="379"/>
      <c r="G31" s="379"/>
      <c r="H31" s="241"/>
      <c r="I31" s="241"/>
      <c r="J31" s="242"/>
      <c r="K31" s="245">
        <f>SUM(K26:K30)</f>
        <v>0</v>
      </c>
      <c r="L31" s="944"/>
    </row>
    <row r="32" spans="2:12" ht="7.5" customHeight="1" thickBot="1" x14ac:dyDescent="0.3">
      <c r="B32" s="394"/>
      <c r="C32" s="942"/>
      <c r="D32" s="942"/>
      <c r="E32" s="948"/>
      <c r="F32" s="948"/>
      <c r="G32" s="396"/>
      <c r="H32" s="397"/>
      <c r="I32" s="397"/>
      <c r="J32" s="398"/>
      <c r="K32" s="396"/>
      <c r="L32" s="944"/>
    </row>
    <row r="33" spans="2:14" ht="17.25" thickTop="1" thickBot="1" x14ac:dyDescent="0.3">
      <c r="B33" s="414"/>
      <c r="C33" s="378" t="s">
        <v>385</v>
      </c>
      <c r="D33" s="379"/>
      <c r="E33" s="379"/>
      <c r="F33" s="379"/>
      <c r="G33" s="379"/>
      <c r="H33" s="241"/>
      <c r="I33" s="241"/>
      <c r="J33" s="242"/>
      <c r="K33" s="245">
        <f>K22+K31</f>
        <v>63674.19</v>
      </c>
      <c r="L33" s="944"/>
    </row>
    <row r="34" spans="2:14" ht="7.5" customHeight="1" x14ac:dyDescent="0.25">
      <c r="B34" s="414"/>
      <c r="C34" s="423"/>
      <c r="D34" s="423"/>
      <c r="E34" s="423"/>
      <c r="F34" s="423"/>
      <c r="G34" s="423"/>
      <c r="H34" s="435"/>
      <c r="I34" s="435"/>
      <c r="J34" s="436"/>
      <c r="K34" s="436"/>
      <c r="L34" s="944"/>
    </row>
    <row r="35" spans="2:14" ht="16.5" thickBot="1" x14ac:dyDescent="0.3">
      <c r="B35" s="394"/>
      <c r="C35" s="1306" t="s">
        <v>657</v>
      </c>
      <c r="D35" s="1306"/>
      <c r="E35" s="1306"/>
      <c r="F35" s="1306"/>
      <c r="G35" s="1306"/>
      <c r="H35" s="1306"/>
      <c r="I35" s="1306"/>
      <c r="J35" s="1306"/>
      <c r="K35" s="1306"/>
      <c r="L35" s="944"/>
    </row>
    <row r="36" spans="2:14" x14ac:dyDescent="0.25">
      <c r="B36" s="394"/>
      <c r="C36" s="2440" t="s">
        <v>1581</v>
      </c>
      <c r="D36" s="2441"/>
      <c r="E36" s="2441"/>
      <c r="F36" s="2441"/>
      <c r="G36" s="2441"/>
      <c r="H36" s="2441"/>
      <c r="I36" s="2441"/>
      <c r="J36" s="2441"/>
      <c r="K36" s="2442"/>
      <c r="L36" s="944"/>
    </row>
    <row r="37" spans="2:14" x14ac:dyDescent="0.25">
      <c r="B37" s="394"/>
      <c r="C37" s="2112"/>
      <c r="D37" s="2113"/>
      <c r="E37" s="2113"/>
      <c r="F37" s="2113"/>
      <c r="G37" s="2113"/>
      <c r="H37" s="2113"/>
      <c r="I37" s="2113"/>
      <c r="J37" s="2113"/>
      <c r="K37" s="2114"/>
      <c r="L37" s="944"/>
    </row>
    <row r="38" spans="2:14" x14ac:dyDescent="0.25">
      <c r="B38" s="394"/>
      <c r="C38" s="2112"/>
      <c r="D38" s="2113"/>
      <c r="E38" s="2113"/>
      <c r="F38" s="2113"/>
      <c r="G38" s="2113"/>
      <c r="H38" s="2113"/>
      <c r="I38" s="2113"/>
      <c r="J38" s="2113"/>
      <c r="K38" s="2114"/>
      <c r="L38" s="944"/>
    </row>
    <row r="39" spans="2:14" x14ac:dyDescent="0.25">
      <c r="B39" s="394"/>
      <c r="C39" s="2112"/>
      <c r="D39" s="2113"/>
      <c r="E39" s="2113"/>
      <c r="F39" s="2113"/>
      <c r="G39" s="2113"/>
      <c r="H39" s="2113"/>
      <c r="I39" s="2113"/>
      <c r="J39" s="2113"/>
      <c r="K39" s="2114"/>
      <c r="L39" s="944"/>
      <c r="N39" s="918" t="s">
        <v>1582</v>
      </c>
    </row>
    <row r="40" spans="2:14" x14ac:dyDescent="0.25">
      <c r="B40" s="394"/>
      <c r="C40" s="2115"/>
      <c r="D40" s="2116"/>
      <c r="E40" s="2116"/>
      <c r="F40" s="2116"/>
      <c r="G40" s="2116"/>
      <c r="H40" s="2116"/>
      <c r="I40" s="2116"/>
      <c r="J40" s="2116"/>
      <c r="K40" s="2117"/>
      <c r="L40" s="944"/>
    </row>
    <row r="41" spans="2:14" ht="9" customHeight="1" thickBot="1" x14ac:dyDescent="0.3">
      <c r="B41" s="1307"/>
      <c r="C41" s="1308"/>
      <c r="D41" s="1308"/>
      <c r="E41" s="1308"/>
      <c r="F41" s="1308"/>
      <c r="G41" s="1308"/>
      <c r="H41" s="1308"/>
      <c r="I41" s="1308"/>
      <c r="J41" s="1308"/>
      <c r="K41" s="1308"/>
      <c r="L41" s="361"/>
    </row>
  </sheetData>
  <sheetProtection password="9F6B" sheet="1" objects="1" scenarios="1" formatCells="0" formatColumns="0" formatRows="0" insertRows="0"/>
  <mergeCells count="15">
    <mergeCell ref="C29:D29"/>
    <mergeCell ref="C30:D30"/>
    <mergeCell ref="C36:K40"/>
    <mergeCell ref="C21:D21"/>
    <mergeCell ref="C24:K24"/>
    <mergeCell ref="C25:D25"/>
    <mergeCell ref="C26:D26"/>
    <mergeCell ref="C27:D27"/>
    <mergeCell ref="C28:D28"/>
    <mergeCell ref="C20:D20"/>
    <mergeCell ref="C9:K9"/>
    <mergeCell ref="C16:D16"/>
    <mergeCell ref="C17:D17"/>
    <mergeCell ref="C18:D18"/>
    <mergeCell ref="C19:D19"/>
  </mergeCells>
  <pageMargins left="0.7" right="0.7" top="0.75" bottom="0.75" header="0.3" footer="0.3"/>
  <pageSetup scale="79" orientation="portrait" r:id="rId1"/>
  <headerFooter>
    <oddFooter>&amp;LForm 8C
Operating Personnel Expenses&amp;CCFA Forms&amp;REdition: 2015
Version: 1.1</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1:Q52"/>
  <sheetViews>
    <sheetView showGridLines="0" zoomScaleNormal="100" workbookViewId="0">
      <selection activeCell="R46" sqref="R46"/>
    </sheetView>
  </sheetViews>
  <sheetFormatPr defaultRowHeight="15" x14ac:dyDescent="0.25"/>
  <cols>
    <col min="1" max="2" width="1.7109375" style="839" customWidth="1"/>
    <col min="3" max="3" width="14.28515625" style="839" customWidth="1"/>
    <col min="4" max="4" width="17.140625" style="839" customWidth="1"/>
    <col min="5" max="5" width="14.28515625" style="839" customWidth="1"/>
    <col min="6" max="11" width="9.140625" style="839"/>
    <col min="12" max="12" width="2.85546875" style="839" customWidth="1"/>
    <col min="13" max="16" width="11.42578125" style="839" customWidth="1"/>
    <col min="17" max="17" width="1.7109375" style="839" customWidth="1"/>
    <col min="18" max="16384" width="9.140625" style="839"/>
  </cols>
  <sheetData>
    <row r="11" spans="2:17" ht="9" customHeight="1" thickBot="1" x14ac:dyDescent="0.3"/>
    <row r="12" spans="2:17" ht="9" customHeight="1" x14ac:dyDescent="0.25">
      <c r="B12" s="386"/>
      <c r="C12" s="387"/>
      <c r="D12" s="387"/>
      <c r="E12" s="388"/>
      <c r="F12" s="388"/>
      <c r="G12" s="389"/>
      <c r="H12" s="390"/>
      <c r="I12" s="390"/>
      <c r="J12" s="391"/>
      <c r="K12" s="389"/>
      <c r="L12" s="389"/>
      <c r="M12" s="392"/>
      <c r="N12" s="388"/>
      <c r="O12" s="389"/>
      <c r="P12" s="389"/>
      <c r="Q12" s="393"/>
    </row>
    <row r="13" spans="2:17" ht="18.75" x14ac:dyDescent="0.3">
      <c r="B13" s="394"/>
      <c r="C13" s="2130" t="s">
        <v>1424</v>
      </c>
      <c r="D13" s="2130"/>
      <c r="E13" s="2130"/>
      <c r="F13" s="2130"/>
      <c r="G13" s="2130"/>
      <c r="H13" s="2130"/>
      <c r="I13" s="2130"/>
      <c r="J13" s="2130"/>
      <c r="K13" s="2130"/>
      <c r="L13" s="2130"/>
      <c r="M13" s="2130"/>
      <c r="N13" s="2130"/>
      <c r="O13" s="2130"/>
      <c r="P13" s="2130"/>
      <c r="Q13" s="944"/>
    </row>
    <row r="14" spans="2:17" x14ac:dyDescent="0.25">
      <c r="B14" s="394"/>
      <c r="C14" s="942"/>
      <c r="D14" s="942"/>
      <c r="E14" s="948"/>
      <c r="F14" s="948"/>
      <c r="G14" s="396"/>
      <c r="H14" s="397"/>
      <c r="I14" s="397"/>
      <c r="J14" s="398"/>
      <c r="K14" s="396"/>
      <c r="L14" s="396"/>
      <c r="M14" s="399"/>
      <c r="N14" s="948"/>
      <c r="O14" s="396"/>
      <c r="P14" s="1208"/>
      <c r="Q14" s="944"/>
    </row>
    <row r="15" spans="2:17" x14ac:dyDescent="0.25">
      <c r="B15" s="394"/>
      <c r="C15" s="1289" t="s">
        <v>1</v>
      </c>
      <c r="D15" s="1995" t="str">
        <f>IF('1A'!G5="","Enter Project Name on Form 1A",'1A'!G5)</f>
        <v>University District Apartments</v>
      </c>
      <c r="E15" s="1291"/>
      <c r="F15" s="1995"/>
      <c r="G15" s="1995"/>
      <c r="H15" s="1995"/>
      <c r="I15" s="1995"/>
      <c r="J15" s="1995"/>
      <c r="K15" s="1995"/>
      <c r="L15" s="942"/>
      <c r="M15" s="942"/>
      <c r="N15" s="942"/>
      <c r="O15" s="942"/>
      <c r="P15" s="1208"/>
      <c r="Q15" s="439"/>
    </row>
    <row r="16" spans="2:17" ht="3.75" customHeight="1" x14ac:dyDescent="0.25">
      <c r="B16" s="394"/>
      <c r="C16" s="1289"/>
      <c r="D16" s="1123"/>
      <c r="E16" s="2002"/>
      <c r="F16" s="1123"/>
      <c r="G16" s="1123"/>
      <c r="H16" s="1123"/>
      <c r="I16" s="1123"/>
      <c r="J16" s="1123"/>
      <c r="K16" s="1123"/>
      <c r="L16" s="942"/>
      <c r="M16" s="942"/>
      <c r="N16" s="942"/>
      <c r="O16" s="942"/>
      <c r="P16" s="1208"/>
      <c r="Q16" s="439"/>
    </row>
    <row r="17" spans="2:17" x14ac:dyDescent="0.25">
      <c r="B17" s="394"/>
      <c r="C17" s="1289" t="s">
        <v>1397</v>
      </c>
      <c r="D17" s="1995" t="str">
        <f>IF('1A'!G44="","Enter Site Name on Form 1A",'1A'!G44)</f>
        <v>Project B - 9%</v>
      </c>
      <c r="E17" s="1291"/>
      <c r="F17" s="1995"/>
      <c r="G17" s="1995"/>
      <c r="H17" s="1995"/>
      <c r="I17" s="1995"/>
      <c r="J17" s="1995"/>
      <c r="K17" s="1995"/>
      <c r="L17" s="1994"/>
      <c r="M17" s="1208"/>
      <c r="N17" s="1208"/>
      <c r="O17" s="1208"/>
      <c r="P17" s="1208"/>
      <c r="Q17" s="944"/>
    </row>
    <row r="18" spans="2:17" ht="7.5" customHeight="1" thickBot="1" x14ac:dyDescent="0.3">
      <c r="B18" s="394"/>
      <c r="C18" s="821"/>
      <c r="D18" s="821"/>
      <c r="E18" s="821"/>
      <c r="F18" s="821"/>
      <c r="G18" s="821"/>
      <c r="H18" s="821"/>
      <c r="I18" s="821"/>
      <c r="J18" s="821"/>
      <c r="K18" s="821"/>
      <c r="L18" s="402"/>
      <c r="M18" s="821"/>
      <c r="N18" s="821"/>
      <c r="O18" s="821"/>
      <c r="P18" s="821"/>
      <c r="Q18" s="944"/>
    </row>
    <row r="19" spans="2:17" ht="16.5" thickBot="1" x14ac:dyDescent="0.3">
      <c r="B19" s="394"/>
      <c r="C19" s="2465" t="s">
        <v>387</v>
      </c>
      <c r="D19" s="2466"/>
      <c r="E19" s="2467"/>
      <c r="F19" s="2467"/>
      <c r="G19" s="2467"/>
      <c r="H19" s="2467"/>
      <c r="I19" s="2467"/>
      <c r="J19" s="2467"/>
      <c r="K19" s="2468"/>
      <c r="L19" s="402"/>
      <c r="M19" s="2452" t="s">
        <v>390</v>
      </c>
      <c r="N19" s="2453"/>
      <c r="O19" s="2453"/>
      <c r="P19" s="2454"/>
      <c r="Q19" s="944"/>
    </row>
    <row r="20" spans="2:17" ht="108.75" thickBot="1" x14ac:dyDescent="0.3">
      <c r="B20" s="403"/>
      <c r="C20" s="1999" t="s">
        <v>388</v>
      </c>
      <c r="D20" s="2000"/>
      <c r="E20" s="1298" t="s">
        <v>375</v>
      </c>
      <c r="F20" s="1299" t="s">
        <v>376</v>
      </c>
      <c r="G20" s="1300" t="s">
        <v>377</v>
      </c>
      <c r="H20" s="1299" t="s">
        <v>378</v>
      </c>
      <c r="I20" s="1299" t="s">
        <v>379</v>
      </c>
      <c r="J20" s="1300" t="s">
        <v>380</v>
      </c>
      <c r="K20" s="1301" t="s">
        <v>389</v>
      </c>
      <c r="L20" s="402"/>
      <c r="M20" s="1654" t="s">
        <v>391</v>
      </c>
      <c r="N20" s="1309" t="str">
        <f>IF('8B - 9%'!C35="","Enter Source Name on Form 8B",'8B - 9%'!C35)</f>
        <v>Extra Rent from Project Based Rental Assistance for : 10 Studios, 10-1BR, 12-2BR, 8-3BR Units, Less 5% Vacancy</v>
      </c>
      <c r="O20" s="1309" t="str">
        <f>IF('8B - 9%'!C36="","Enter Source Name on Form 8B",'8B - 9%'!C36)</f>
        <v>Enter Source Name on Form 8B</v>
      </c>
      <c r="P20" s="1310" t="str">
        <f>IF('8B - 9%'!C37="","Enter Source Name on Form 8B",'8B - 9%'!C37)</f>
        <v>Enter Source Name on Form 8B</v>
      </c>
      <c r="Q20" s="944"/>
    </row>
    <row r="21" spans="2:17" x14ac:dyDescent="0.25">
      <c r="B21" s="403"/>
      <c r="C21" s="2433" t="s">
        <v>1655</v>
      </c>
      <c r="D21" s="2434"/>
      <c r="E21" s="766" t="s">
        <v>1567</v>
      </c>
      <c r="F21" s="767">
        <v>64077</v>
      </c>
      <c r="G21" s="768">
        <v>1</v>
      </c>
      <c r="H21" s="769">
        <f>F21*G21</f>
        <v>64077</v>
      </c>
      <c r="I21" s="768">
        <v>0.32</v>
      </c>
      <c r="J21" s="769">
        <f>H21*I21</f>
        <v>20504.64</v>
      </c>
      <c r="K21" s="770">
        <f>H21+J21</f>
        <v>84581.64</v>
      </c>
      <c r="L21" s="404"/>
      <c r="M21" s="773">
        <v>0</v>
      </c>
      <c r="N21" s="774">
        <v>0</v>
      </c>
      <c r="O21" s="774">
        <v>0</v>
      </c>
      <c r="P21" s="775">
        <v>0</v>
      </c>
      <c r="Q21" s="405"/>
    </row>
    <row r="22" spans="2:17" x14ac:dyDescent="0.25">
      <c r="B22" s="394"/>
      <c r="C22" s="2433" t="s">
        <v>1565</v>
      </c>
      <c r="D22" s="2434"/>
      <c r="E22" s="373" t="s">
        <v>1567</v>
      </c>
      <c r="F22" s="374">
        <v>40810</v>
      </c>
      <c r="G22" s="243">
        <v>1</v>
      </c>
      <c r="H22" s="382">
        <f t="shared" ref="H22:H29" si="0">F22*G22</f>
        <v>40810</v>
      </c>
      <c r="I22" s="243">
        <v>0.32</v>
      </c>
      <c r="J22" s="382">
        <f t="shared" ref="J22:J29" si="1">H22*I22</f>
        <v>13059.2</v>
      </c>
      <c r="K22" s="384">
        <f t="shared" ref="K22:K29" si="2">H22+J22</f>
        <v>53869.2</v>
      </c>
      <c r="L22" s="404"/>
      <c r="M22" s="406">
        <v>0</v>
      </c>
      <c r="N22" s="407">
        <v>0</v>
      </c>
      <c r="O22" s="407">
        <v>0</v>
      </c>
      <c r="P22" s="408">
        <v>0</v>
      </c>
      <c r="Q22" s="409"/>
    </row>
    <row r="23" spans="2:17" x14ac:dyDescent="0.25">
      <c r="B23" s="394"/>
      <c r="C23" s="2433" t="s">
        <v>1566</v>
      </c>
      <c r="D23" s="2434"/>
      <c r="E23" s="373" t="s">
        <v>1567</v>
      </c>
      <c r="F23" s="374">
        <v>40810</v>
      </c>
      <c r="G23" s="243">
        <v>1</v>
      </c>
      <c r="H23" s="382">
        <f t="shared" si="0"/>
        <v>40810</v>
      </c>
      <c r="I23" s="243">
        <v>0.32</v>
      </c>
      <c r="J23" s="382">
        <f t="shared" si="1"/>
        <v>13059.2</v>
      </c>
      <c r="K23" s="384">
        <f t="shared" si="2"/>
        <v>53869.2</v>
      </c>
      <c r="L23" s="404"/>
      <c r="M23" s="406">
        <v>0</v>
      </c>
      <c r="N23" s="407">
        <v>0</v>
      </c>
      <c r="O23" s="407">
        <v>0</v>
      </c>
      <c r="P23" s="408">
        <v>0</v>
      </c>
      <c r="Q23" s="944"/>
    </row>
    <row r="24" spans="2:17" x14ac:dyDescent="0.25">
      <c r="B24" s="394"/>
      <c r="C24" s="2433"/>
      <c r="D24" s="2434"/>
      <c r="E24" s="373"/>
      <c r="F24" s="374">
        <v>0</v>
      </c>
      <c r="G24" s="243">
        <v>0</v>
      </c>
      <c r="H24" s="382">
        <f t="shared" si="0"/>
        <v>0</v>
      </c>
      <c r="I24" s="243">
        <v>0</v>
      </c>
      <c r="J24" s="382">
        <f t="shared" si="1"/>
        <v>0</v>
      </c>
      <c r="K24" s="384">
        <f t="shared" si="2"/>
        <v>0</v>
      </c>
      <c r="L24" s="404"/>
      <c r="M24" s="406">
        <v>0</v>
      </c>
      <c r="N24" s="407">
        <v>0</v>
      </c>
      <c r="O24" s="407">
        <v>0</v>
      </c>
      <c r="P24" s="408">
        <v>0</v>
      </c>
      <c r="Q24" s="944"/>
    </row>
    <row r="25" spans="2:17" x14ac:dyDescent="0.25">
      <c r="B25" s="394"/>
      <c r="C25" s="2433"/>
      <c r="D25" s="2434"/>
      <c r="E25" s="373"/>
      <c r="F25" s="374">
        <v>0</v>
      </c>
      <c r="G25" s="243">
        <v>0</v>
      </c>
      <c r="H25" s="382">
        <f t="shared" si="0"/>
        <v>0</v>
      </c>
      <c r="I25" s="243">
        <v>0</v>
      </c>
      <c r="J25" s="382">
        <f t="shared" si="1"/>
        <v>0</v>
      </c>
      <c r="K25" s="384">
        <f t="shared" si="2"/>
        <v>0</v>
      </c>
      <c r="L25" s="404"/>
      <c r="M25" s="406">
        <v>0</v>
      </c>
      <c r="N25" s="407">
        <v>0</v>
      </c>
      <c r="O25" s="407">
        <v>0</v>
      </c>
      <c r="P25" s="408">
        <v>0</v>
      </c>
      <c r="Q25" s="944"/>
    </row>
    <row r="26" spans="2:17" x14ac:dyDescent="0.25">
      <c r="B26" s="394"/>
      <c r="C26" s="2433"/>
      <c r="D26" s="2434"/>
      <c r="E26" s="373"/>
      <c r="F26" s="410">
        <v>0</v>
      </c>
      <c r="G26" s="243">
        <v>0</v>
      </c>
      <c r="H26" s="382">
        <f t="shared" si="0"/>
        <v>0</v>
      </c>
      <c r="I26" s="243">
        <v>0</v>
      </c>
      <c r="J26" s="382">
        <f t="shared" si="1"/>
        <v>0</v>
      </c>
      <c r="K26" s="384">
        <f t="shared" si="2"/>
        <v>0</v>
      </c>
      <c r="L26" s="404"/>
      <c r="M26" s="406">
        <v>0</v>
      </c>
      <c r="N26" s="407">
        <v>0</v>
      </c>
      <c r="O26" s="407">
        <v>0</v>
      </c>
      <c r="P26" s="408">
        <v>0</v>
      </c>
      <c r="Q26" s="944"/>
    </row>
    <row r="27" spans="2:17" x14ac:dyDescent="0.25">
      <c r="B27" s="394"/>
      <c r="C27" s="2433"/>
      <c r="D27" s="2434"/>
      <c r="E27" s="373"/>
      <c r="F27" s="410">
        <v>0</v>
      </c>
      <c r="G27" s="243">
        <v>0</v>
      </c>
      <c r="H27" s="382">
        <f t="shared" si="0"/>
        <v>0</v>
      </c>
      <c r="I27" s="243">
        <v>0</v>
      </c>
      <c r="J27" s="382">
        <f t="shared" si="1"/>
        <v>0</v>
      </c>
      <c r="K27" s="384">
        <f t="shared" si="2"/>
        <v>0</v>
      </c>
      <c r="L27" s="404"/>
      <c r="M27" s="406">
        <v>0</v>
      </c>
      <c r="N27" s="407">
        <v>0</v>
      </c>
      <c r="O27" s="407">
        <v>0</v>
      </c>
      <c r="P27" s="408">
        <v>0</v>
      </c>
      <c r="Q27" s="944"/>
    </row>
    <row r="28" spans="2:17" x14ac:dyDescent="0.25">
      <c r="B28" s="394"/>
      <c r="C28" s="2433"/>
      <c r="D28" s="2434"/>
      <c r="E28" s="373"/>
      <c r="F28" s="410">
        <v>0</v>
      </c>
      <c r="G28" s="243">
        <v>0</v>
      </c>
      <c r="H28" s="382">
        <f t="shared" si="0"/>
        <v>0</v>
      </c>
      <c r="I28" s="243">
        <v>0</v>
      </c>
      <c r="J28" s="382">
        <f t="shared" si="1"/>
        <v>0</v>
      </c>
      <c r="K28" s="384">
        <f t="shared" si="2"/>
        <v>0</v>
      </c>
      <c r="L28" s="404"/>
      <c r="M28" s="406">
        <v>0</v>
      </c>
      <c r="N28" s="407">
        <v>0</v>
      </c>
      <c r="O28" s="407">
        <v>0</v>
      </c>
      <c r="P28" s="408">
        <v>0</v>
      </c>
      <c r="Q28" s="944"/>
    </row>
    <row r="29" spans="2:17" ht="15.75" thickBot="1" x14ac:dyDescent="0.3">
      <c r="B29" s="394"/>
      <c r="C29" s="2435"/>
      <c r="D29" s="2436"/>
      <c r="E29" s="375"/>
      <c r="F29" s="377">
        <v>0</v>
      </c>
      <c r="G29" s="244">
        <v>0</v>
      </c>
      <c r="H29" s="383">
        <f t="shared" si="0"/>
        <v>0</v>
      </c>
      <c r="I29" s="244">
        <v>0</v>
      </c>
      <c r="J29" s="383">
        <f t="shared" si="1"/>
        <v>0</v>
      </c>
      <c r="K29" s="726">
        <f t="shared" si="2"/>
        <v>0</v>
      </c>
      <c r="L29" s="404"/>
      <c r="M29" s="411">
        <v>0</v>
      </c>
      <c r="N29" s="412">
        <v>0</v>
      </c>
      <c r="O29" s="412">
        <v>0</v>
      </c>
      <c r="P29" s="413">
        <v>0</v>
      </c>
      <c r="Q29" s="944"/>
    </row>
    <row r="30" spans="2:17" ht="17.25" thickTop="1" thickBot="1" x14ac:dyDescent="0.3">
      <c r="B30" s="414"/>
      <c r="C30" s="2463" t="s">
        <v>392</v>
      </c>
      <c r="D30" s="2464"/>
      <c r="E30" s="2464"/>
      <c r="F30" s="2464"/>
      <c r="G30" s="2464"/>
      <c r="H30" s="415"/>
      <c r="I30" s="415"/>
      <c r="J30" s="416"/>
      <c r="K30" s="245">
        <f>SUM(K21:K29)</f>
        <v>192320.03999999998</v>
      </c>
      <c r="L30" s="417"/>
      <c r="M30" s="1322">
        <f>SUM(M21:M29)</f>
        <v>0</v>
      </c>
      <c r="N30" s="1323">
        <f>SUM(N21:N29)</f>
        <v>0</v>
      </c>
      <c r="O30" s="1323">
        <f>SUM(O21:O29)</f>
        <v>0</v>
      </c>
      <c r="P30" s="1324">
        <f>SUM(P21:P29)</f>
        <v>0</v>
      </c>
      <c r="Q30" s="944"/>
    </row>
    <row r="31" spans="2:17" ht="15" customHeight="1" thickBot="1" x14ac:dyDescent="0.3">
      <c r="B31" s="414"/>
      <c r="C31" s="418"/>
      <c r="D31" s="418"/>
      <c r="E31" s="418"/>
      <c r="F31" s="418"/>
      <c r="G31" s="418"/>
      <c r="H31" s="419"/>
      <c r="I31" s="419"/>
      <c r="J31" s="420"/>
      <c r="K31" s="420"/>
      <c r="L31" s="421"/>
      <c r="M31" s="420"/>
      <c r="N31" s="420"/>
      <c r="O31" s="420"/>
      <c r="P31" s="420"/>
      <c r="Q31" s="944"/>
    </row>
    <row r="32" spans="2:17" ht="109.5" thickBot="1" x14ac:dyDescent="0.3">
      <c r="B32" s="414"/>
      <c r="C32" s="378" t="s">
        <v>393</v>
      </c>
      <c r="D32" s="379"/>
      <c r="E32" s="379"/>
      <c r="F32" s="379"/>
      <c r="G32" s="379"/>
      <c r="H32" s="379"/>
      <c r="I32" s="379"/>
      <c r="J32" s="379"/>
      <c r="K32" s="1656"/>
      <c r="L32" s="421"/>
      <c r="M32" s="1655" t="s">
        <v>391</v>
      </c>
      <c r="N32" s="776" t="str">
        <f>N20</f>
        <v>Extra Rent from Project Based Rental Assistance for : 10 Studios, 10-1BR, 12-2BR, 8-3BR Units, Less 5% Vacancy</v>
      </c>
      <c r="O32" s="776" t="str">
        <f>O20</f>
        <v>Enter Source Name on Form 8B</v>
      </c>
      <c r="P32" s="777" t="str">
        <f>P20</f>
        <v>Enter Source Name on Form 8B</v>
      </c>
      <c r="Q32" s="944"/>
    </row>
    <row r="33" spans="2:17" ht="15.75" x14ac:dyDescent="0.25">
      <c r="B33" s="414"/>
      <c r="C33" s="821"/>
      <c r="D33" s="440"/>
      <c r="E33" s="821"/>
      <c r="F33" s="440" t="s">
        <v>394</v>
      </c>
      <c r="G33" s="821"/>
      <c r="H33" s="821"/>
      <c r="I33" s="821"/>
      <c r="J33" s="821"/>
      <c r="K33" s="772">
        <v>12000</v>
      </c>
      <c r="L33" s="424"/>
      <c r="M33" s="425">
        <v>0</v>
      </c>
      <c r="N33" s="426">
        <v>0</v>
      </c>
      <c r="O33" s="426">
        <v>0</v>
      </c>
      <c r="P33" s="427">
        <v>0</v>
      </c>
      <c r="Q33" s="944"/>
    </row>
    <row r="34" spans="2:17" ht="15.75" x14ac:dyDescent="0.25">
      <c r="B34" s="414"/>
      <c r="C34" s="821"/>
      <c r="D34" s="440"/>
      <c r="E34" s="821"/>
      <c r="F34" s="440" t="s">
        <v>395</v>
      </c>
      <c r="G34" s="821"/>
      <c r="H34" s="821"/>
      <c r="I34" s="821"/>
      <c r="J34" s="821"/>
      <c r="K34" s="727">
        <v>0</v>
      </c>
      <c r="L34" s="424"/>
      <c r="M34" s="428">
        <v>0</v>
      </c>
      <c r="N34" s="407">
        <v>0</v>
      </c>
      <c r="O34" s="407">
        <v>0</v>
      </c>
      <c r="P34" s="429">
        <v>0</v>
      </c>
      <c r="Q34" s="944"/>
    </row>
    <row r="35" spans="2:17" ht="15.75" x14ac:dyDescent="0.25">
      <c r="B35" s="414"/>
      <c r="C35" s="821"/>
      <c r="D35" s="440"/>
      <c r="E35" s="821"/>
      <c r="F35" s="440" t="s">
        <v>396</v>
      </c>
      <c r="G35" s="821"/>
      <c r="H35" s="821"/>
      <c r="I35" s="821"/>
      <c r="J35" s="821"/>
      <c r="K35" s="727">
        <v>5000</v>
      </c>
      <c r="L35" s="424"/>
      <c r="M35" s="428">
        <v>0</v>
      </c>
      <c r="N35" s="407">
        <v>0</v>
      </c>
      <c r="O35" s="407">
        <v>0</v>
      </c>
      <c r="P35" s="429">
        <v>0</v>
      </c>
      <c r="Q35" s="944"/>
    </row>
    <row r="36" spans="2:17" ht="15.75" x14ac:dyDescent="0.25">
      <c r="B36" s="414"/>
      <c r="C36" s="821"/>
      <c r="D36" s="440"/>
      <c r="E36" s="821"/>
      <c r="F36" s="440" t="s">
        <v>397</v>
      </c>
      <c r="G36" s="821"/>
      <c r="H36" s="821"/>
      <c r="I36" s="821"/>
      <c r="J36" s="821"/>
      <c r="K36" s="727">
        <v>3000</v>
      </c>
      <c r="L36" s="424"/>
      <c r="M36" s="428">
        <v>0</v>
      </c>
      <c r="N36" s="407">
        <v>0</v>
      </c>
      <c r="O36" s="407">
        <v>0</v>
      </c>
      <c r="P36" s="429">
        <v>0</v>
      </c>
      <c r="Q36" s="944"/>
    </row>
    <row r="37" spans="2:17" ht="15.75" x14ac:dyDescent="0.25">
      <c r="B37" s="414"/>
      <c r="C37" s="821"/>
      <c r="D37" s="440"/>
      <c r="E37" s="821"/>
      <c r="F37" s="440" t="s">
        <v>398</v>
      </c>
      <c r="G37" s="821"/>
      <c r="H37" s="821"/>
      <c r="I37" s="821"/>
      <c r="J37" s="821"/>
      <c r="K37" s="727">
        <v>5000</v>
      </c>
      <c r="L37" s="424"/>
      <c r="M37" s="428">
        <v>0</v>
      </c>
      <c r="N37" s="407">
        <v>0</v>
      </c>
      <c r="O37" s="407">
        <v>0</v>
      </c>
      <c r="P37" s="429">
        <v>0</v>
      </c>
      <c r="Q37" s="944"/>
    </row>
    <row r="38" spans="2:17" ht="15.75" x14ac:dyDescent="0.25">
      <c r="B38" s="414"/>
      <c r="C38" s="821"/>
      <c r="D38" s="440"/>
      <c r="E38" s="821"/>
      <c r="F38" s="440" t="s">
        <v>399</v>
      </c>
      <c r="G38" s="821"/>
      <c r="H38" s="821"/>
      <c r="I38" s="821"/>
      <c r="J38" s="821"/>
      <c r="K38" s="727">
        <v>0</v>
      </c>
      <c r="L38" s="424"/>
      <c r="M38" s="428">
        <v>0</v>
      </c>
      <c r="N38" s="407">
        <v>0</v>
      </c>
      <c r="O38" s="407">
        <v>0</v>
      </c>
      <c r="P38" s="429">
        <v>0</v>
      </c>
      <c r="Q38" s="944"/>
    </row>
    <row r="39" spans="2:17" ht="15.75" x14ac:dyDescent="0.25">
      <c r="B39" s="414"/>
      <c r="C39" s="821"/>
      <c r="D39" s="440"/>
      <c r="E39" s="821"/>
      <c r="F39" s="440" t="s">
        <v>476</v>
      </c>
      <c r="G39" s="2449"/>
      <c r="H39" s="2450"/>
      <c r="I39" s="2450"/>
      <c r="J39" s="2451"/>
      <c r="K39" s="727">
        <v>0</v>
      </c>
      <c r="L39" s="424"/>
      <c r="M39" s="428">
        <v>0</v>
      </c>
      <c r="N39" s="407">
        <v>0</v>
      </c>
      <c r="O39" s="407">
        <v>0</v>
      </c>
      <c r="P39" s="429">
        <v>0</v>
      </c>
      <c r="Q39" s="944"/>
    </row>
    <row r="40" spans="2:17" ht="15.75" x14ac:dyDescent="0.25">
      <c r="B40" s="414"/>
      <c r="C40" s="821"/>
      <c r="D40" s="440"/>
      <c r="E40" s="821"/>
      <c r="F40" s="440" t="s">
        <v>476</v>
      </c>
      <c r="G40" s="2449"/>
      <c r="H40" s="2450"/>
      <c r="I40" s="2450"/>
      <c r="J40" s="2451"/>
      <c r="K40" s="727">
        <v>0</v>
      </c>
      <c r="L40" s="424"/>
      <c r="M40" s="428">
        <v>0</v>
      </c>
      <c r="N40" s="407">
        <v>0</v>
      </c>
      <c r="O40" s="407">
        <v>0</v>
      </c>
      <c r="P40" s="429">
        <v>0</v>
      </c>
      <c r="Q40" s="944"/>
    </row>
    <row r="41" spans="2:17" ht="15.75" x14ac:dyDescent="0.25">
      <c r="B41" s="414"/>
      <c r="C41" s="821"/>
      <c r="D41" s="440"/>
      <c r="E41" s="821"/>
      <c r="F41" s="440" t="s">
        <v>476</v>
      </c>
      <c r="G41" s="2449"/>
      <c r="H41" s="2450"/>
      <c r="I41" s="2450"/>
      <c r="J41" s="2451"/>
      <c r="K41" s="727">
        <v>0</v>
      </c>
      <c r="L41" s="424"/>
      <c r="M41" s="428">
        <v>0</v>
      </c>
      <c r="N41" s="407">
        <v>0</v>
      </c>
      <c r="O41" s="407">
        <v>0</v>
      </c>
      <c r="P41" s="429">
        <v>0</v>
      </c>
      <c r="Q41" s="944"/>
    </row>
    <row r="42" spans="2:17" ht="15.75" x14ac:dyDescent="0.25">
      <c r="B42" s="414"/>
      <c r="C42" s="821"/>
      <c r="D42" s="440"/>
      <c r="E42" s="821"/>
      <c r="F42" s="440" t="s">
        <v>400</v>
      </c>
      <c r="G42" s="821"/>
      <c r="H42" s="821"/>
      <c r="I42" s="821"/>
      <c r="J42" s="821"/>
      <c r="K42" s="728">
        <v>11113</v>
      </c>
      <c r="L42" s="424"/>
      <c r="M42" s="430">
        <v>0</v>
      </c>
      <c r="N42" s="431">
        <v>0</v>
      </c>
      <c r="O42" s="431">
        <v>0</v>
      </c>
      <c r="P42" s="432">
        <v>0</v>
      </c>
      <c r="Q42" s="944"/>
    </row>
    <row r="43" spans="2:17" ht="16.5" thickBot="1" x14ac:dyDescent="0.3">
      <c r="B43" s="414"/>
      <c r="C43" s="422"/>
      <c r="D43" s="422"/>
      <c r="E43" s="423"/>
      <c r="F43" s="423"/>
      <c r="G43" s="423"/>
      <c r="H43" s="422"/>
      <c r="I43" s="422"/>
      <c r="J43" s="421"/>
      <c r="K43" s="433"/>
      <c r="L43" s="421"/>
      <c r="M43" s="434"/>
      <c r="N43" s="434"/>
      <c r="O43" s="434"/>
      <c r="P43" s="434"/>
      <c r="Q43" s="944"/>
    </row>
    <row r="44" spans="2:17" ht="17.25" thickTop="1" thickBot="1" x14ac:dyDescent="0.3">
      <c r="B44" s="414"/>
      <c r="C44" s="422"/>
      <c r="D44" s="422"/>
      <c r="E44" s="423"/>
      <c r="F44" s="423"/>
      <c r="G44" s="2002"/>
      <c r="H44" s="730"/>
      <c r="I44" s="378" t="s">
        <v>401</v>
      </c>
      <c r="J44" s="1657"/>
      <c r="K44" s="1318">
        <f>K30+(SUM(K33:K42))</f>
        <v>228433.03999999998</v>
      </c>
      <c r="L44" s="435"/>
      <c r="M44" s="1319">
        <f>M30+(SUM(M33:M43))</f>
        <v>0</v>
      </c>
      <c r="N44" s="1320">
        <f>N30+(SUM(N33:N43))</f>
        <v>0</v>
      </c>
      <c r="O44" s="1320">
        <f>O30+(SUM(O33:O43))</f>
        <v>0</v>
      </c>
      <c r="P44" s="1321">
        <f>P30+(SUM(P33:P43))</f>
        <v>0</v>
      </c>
      <c r="Q44" s="944"/>
    </row>
    <row r="45" spans="2:17" ht="16.5" thickBot="1" x14ac:dyDescent="0.3">
      <c r="B45" s="414"/>
      <c r="C45" s="422"/>
      <c r="D45" s="422"/>
      <c r="E45" s="423"/>
      <c r="F45" s="423"/>
      <c r="G45" s="729"/>
      <c r="H45" s="942"/>
      <c r="I45" s="942"/>
      <c r="J45" s="436"/>
      <c r="K45" s="436"/>
      <c r="L45" s="437"/>
      <c r="M45" s="436"/>
      <c r="N45" s="436"/>
      <c r="O45" s="436"/>
      <c r="P45" s="1312"/>
      <c r="Q45" s="944"/>
    </row>
    <row r="46" spans="2:17" ht="16.5" thickBot="1" x14ac:dyDescent="0.3">
      <c r="B46" s="394"/>
      <c r="C46" s="380" t="s">
        <v>657</v>
      </c>
      <c r="D46" s="381"/>
      <c r="E46" s="381"/>
      <c r="F46" s="381"/>
      <c r="G46" s="381"/>
      <c r="H46" s="381"/>
      <c r="I46" s="381"/>
      <c r="J46" s="381"/>
      <c r="K46" s="381"/>
      <c r="L46" s="381"/>
      <c r="M46" s="381"/>
      <c r="N46" s="381"/>
      <c r="O46" s="438"/>
      <c r="P46" s="1208"/>
      <c r="Q46" s="944"/>
    </row>
    <row r="47" spans="2:17" x14ac:dyDescent="0.25">
      <c r="B47" s="394"/>
      <c r="C47" s="2455" t="s">
        <v>1583</v>
      </c>
      <c r="D47" s="2456"/>
      <c r="E47" s="2456"/>
      <c r="F47" s="2456"/>
      <c r="G47" s="2456"/>
      <c r="H47" s="2456"/>
      <c r="I47" s="2456"/>
      <c r="J47" s="2456"/>
      <c r="K47" s="2456"/>
      <c r="L47" s="2456"/>
      <c r="M47" s="2456"/>
      <c r="N47" s="2456"/>
      <c r="O47" s="2457"/>
      <c r="P47" s="1208"/>
      <c r="Q47" s="944"/>
    </row>
    <row r="48" spans="2:17" x14ac:dyDescent="0.25">
      <c r="B48" s="394"/>
      <c r="C48" s="2458"/>
      <c r="D48" s="2113"/>
      <c r="E48" s="2113"/>
      <c r="F48" s="2113"/>
      <c r="G48" s="2113"/>
      <c r="H48" s="2113"/>
      <c r="I48" s="2113"/>
      <c r="J48" s="2113"/>
      <c r="K48" s="2113"/>
      <c r="L48" s="2113"/>
      <c r="M48" s="2113"/>
      <c r="N48" s="2113"/>
      <c r="O48" s="2459"/>
      <c r="P48" s="1208"/>
      <c r="Q48" s="944"/>
    </row>
    <row r="49" spans="2:17" x14ac:dyDescent="0.25">
      <c r="B49" s="394"/>
      <c r="C49" s="2458"/>
      <c r="D49" s="2113"/>
      <c r="E49" s="2113"/>
      <c r="F49" s="2113"/>
      <c r="G49" s="2113"/>
      <c r="H49" s="2113"/>
      <c r="I49" s="2113"/>
      <c r="J49" s="2113"/>
      <c r="K49" s="2113"/>
      <c r="L49" s="2113"/>
      <c r="M49" s="2113"/>
      <c r="N49" s="2113"/>
      <c r="O49" s="2459"/>
      <c r="P49" s="1208"/>
      <c r="Q49" s="944"/>
    </row>
    <row r="50" spans="2:17" x14ac:dyDescent="0.25">
      <c r="B50" s="394"/>
      <c r="C50" s="2458"/>
      <c r="D50" s="2113"/>
      <c r="E50" s="2113"/>
      <c r="F50" s="2113"/>
      <c r="G50" s="2113"/>
      <c r="H50" s="2113"/>
      <c r="I50" s="2113"/>
      <c r="J50" s="2113"/>
      <c r="K50" s="2113"/>
      <c r="L50" s="2113"/>
      <c r="M50" s="2113"/>
      <c r="N50" s="2113"/>
      <c r="O50" s="2459"/>
      <c r="P50" s="1208"/>
      <c r="Q50" s="944"/>
    </row>
    <row r="51" spans="2:17" ht="15.75" thickBot="1" x14ac:dyDescent="0.3">
      <c r="B51" s="394"/>
      <c r="C51" s="2460"/>
      <c r="D51" s="2461"/>
      <c r="E51" s="2461"/>
      <c r="F51" s="2461"/>
      <c r="G51" s="2461"/>
      <c r="H51" s="2461"/>
      <c r="I51" s="2461"/>
      <c r="J51" s="2461"/>
      <c r="K51" s="2461"/>
      <c r="L51" s="2461"/>
      <c r="M51" s="2461"/>
      <c r="N51" s="2461"/>
      <c r="O51" s="2462"/>
      <c r="P51" s="1208"/>
      <c r="Q51" s="944"/>
    </row>
    <row r="52" spans="2:17" ht="9" customHeight="1" thickBot="1" x14ac:dyDescent="0.3">
      <c r="B52" s="1307"/>
      <c r="C52" s="360"/>
      <c r="D52" s="360"/>
      <c r="E52" s="1313"/>
      <c r="F52" s="1313"/>
      <c r="G52" s="1314"/>
      <c r="H52" s="1315"/>
      <c r="I52" s="1315"/>
      <c r="J52" s="1316"/>
      <c r="K52" s="1314"/>
      <c r="L52" s="1314"/>
      <c r="M52" s="1317"/>
      <c r="N52" s="1313"/>
      <c r="O52" s="1314"/>
      <c r="P52" s="360"/>
      <c r="Q52" s="361"/>
    </row>
  </sheetData>
  <sheetProtection password="9F6B" sheet="1" objects="1" scenarios="1" formatCells="0" formatColumns="0" formatRows="0" insertRows="0"/>
  <mergeCells count="17">
    <mergeCell ref="C30:G30"/>
    <mergeCell ref="G39:J39"/>
    <mergeCell ref="G40:J40"/>
    <mergeCell ref="G41:J41"/>
    <mergeCell ref="C47:O51"/>
    <mergeCell ref="C29:D29"/>
    <mergeCell ref="C13:P13"/>
    <mergeCell ref="C19:K19"/>
    <mergeCell ref="M19:P19"/>
    <mergeCell ref="C21:D21"/>
    <mergeCell ref="C22:D22"/>
    <mergeCell ref="C23:D23"/>
    <mergeCell ref="C24:D24"/>
    <mergeCell ref="C25:D25"/>
    <mergeCell ref="C26:D26"/>
    <mergeCell ref="C27:D27"/>
    <mergeCell ref="C28:D28"/>
  </mergeCells>
  <pageMargins left="0.7" right="0.7" top="0.75" bottom="0.75" header="0.3" footer="0.3"/>
  <pageSetup scale="65" orientation="landscape" r:id="rId1"/>
  <headerFooter>
    <oddFooter>&amp;LForm 8D
Service Expenses&amp;CCFA Forms&amp;REdition: 2015
Version: 1.1</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Q169"/>
  <sheetViews>
    <sheetView showGridLines="0" zoomScaleNormal="100" workbookViewId="0">
      <selection activeCell="J85" sqref="J85:P85"/>
    </sheetView>
  </sheetViews>
  <sheetFormatPr defaultRowHeight="15" x14ac:dyDescent="0.25"/>
  <cols>
    <col min="1" max="2" width="1.7109375" style="839" customWidth="1"/>
    <col min="3" max="3" width="14.28515625" style="839" customWidth="1"/>
    <col min="4" max="4" width="9.140625" style="839" customWidth="1"/>
    <col min="5" max="6" width="9.140625" style="839"/>
    <col min="7" max="7" width="1.42578125" style="839" customWidth="1"/>
    <col min="8" max="16" width="9.140625" style="839"/>
    <col min="17" max="17" width="1.7109375" style="839" customWidth="1"/>
    <col min="18" max="16384" width="9.140625" style="839"/>
  </cols>
  <sheetData>
    <row r="5" spans="2:17" ht="15.75" thickBot="1" x14ac:dyDescent="0.3"/>
    <row r="6" spans="2:17" ht="9" customHeight="1" x14ac:dyDescent="0.25">
      <c r="B6" s="511"/>
      <c r="C6" s="512"/>
      <c r="D6" s="512"/>
      <c r="E6" s="512"/>
      <c r="F6" s="512"/>
      <c r="G6" s="512"/>
      <c r="H6" s="512"/>
      <c r="I6" s="512"/>
      <c r="J6" s="512"/>
      <c r="K6" s="512"/>
      <c r="L6" s="512"/>
      <c r="M6" s="512"/>
      <c r="N6" s="512"/>
      <c r="O6" s="512"/>
      <c r="P6" s="512"/>
      <c r="Q6" s="513"/>
    </row>
    <row r="7" spans="2:17" ht="18.75" x14ac:dyDescent="0.3">
      <c r="B7" s="514"/>
      <c r="C7" s="1823" t="s">
        <v>1403</v>
      </c>
      <c r="D7" s="1658"/>
      <c r="E7" s="1658"/>
      <c r="F7" s="1658"/>
      <c r="G7" s="1658"/>
      <c r="H7" s="1658"/>
      <c r="I7" s="1658"/>
      <c r="J7" s="1658"/>
      <c r="K7" s="1658"/>
      <c r="L7" s="1658"/>
      <c r="M7" s="1658"/>
      <c r="N7" s="1658"/>
      <c r="O7" s="1658"/>
      <c r="P7" s="1658"/>
      <c r="Q7" s="516"/>
    </row>
    <row r="8" spans="2:17" x14ac:dyDescent="0.25">
      <c r="B8" s="514"/>
      <c r="C8" s="515"/>
      <c r="D8" s="515"/>
      <c r="E8" s="515"/>
      <c r="F8" s="515"/>
      <c r="G8" s="515"/>
      <c r="H8" s="515"/>
      <c r="I8" s="515"/>
      <c r="J8" s="515"/>
      <c r="K8" s="515"/>
      <c r="L8" s="515"/>
      <c r="M8" s="515"/>
      <c r="N8" s="515"/>
      <c r="O8" s="515"/>
      <c r="P8" s="515"/>
      <c r="Q8" s="516"/>
    </row>
    <row r="9" spans="2:17" x14ac:dyDescent="0.25">
      <c r="B9" s="514"/>
      <c r="C9" s="1123" t="s">
        <v>59</v>
      </c>
      <c r="D9" s="1822" t="str">
        <f>IF('1A'!G5="","Enter Project Name on Form 1A",'1A'!G5)</f>
        <v>University District Apartments</v>
      </c>
      <c r="E9" s="1822"/>
      <c r="F9" s="1822"/>
      <c r="G9" s="1822"/>
      <c r="H9" s="1822"/>
      <c r="I9" s="1822"/>
      <c r="J9" s="1822"/>
      <c r="K9" s="1208"/>
      <c r="L9" s="1208"/>
      <c r="M9" s="787" t="s">
        <v>1076</v>
      </c>
      <c r="N9" s="1877" t="str">
        <f>IF('8E- 4%'!N21="","",'8E- 4%'!N21)</f>
        <v>X</v>
      </c>
      <c r="O9" s="1123"/>
      <c r="P9" s="1123"/>
      <c r="Q9" s="516"/>
    </row>
    <row r="10" spans="2:17" ht="3.75" customHeight="1" x14ac:dyDescent="0.25">
      <c r="B10" s="514"/>
      <c r="C10" s="1123"/>
      <c r="D10" s="1123"/>
      <c r="E10" s="1123"/>
      <c r="F10" s="1123"/>
      <c r="G10" s="1123"/>
      <c r="H10" s="1123"/>
      <c r="I10" s="1123"/>
      <c r="J10" s="1208"/>
      <c r="K10" s="1208"/>
      <c r="L10" s="1208"/>
      <c r="M10" s="1208"/>
      <c r="N10" s="1123"/>
      <c r="O10" s="1123"/>
      <c r="P10" s="1123"/>
      <c r="Q10" s="516"/>
    </row>
    <row r="11" spans="2:17" x14ac:dyDescent="0.25">
      <c r="B11" s="517"/>
      <c r="C11" s="1123" t="s">
        <v>1400</v>
      </c>
      <c r="D11" s="1822" t="str">
        <f>IF('1A'!G29="","Enter Site Name on Form 1A",'1A'!G29)</f>
        <v>Project A-  4%</v>
      </c>
      <c r="E11" s="1822"/>
      <c r="F11" s="1822"/>
      <c r="G11" s="1822"/>
      <c r="H11" s="1822"/>
      <c r="I11" s="1822"/>
      <c r="J11" s="1822"/>
      <c r="K11" s="519"/>
      <c r="L11" s="821"/>
      <c r="M11" s="1385" t="s">
        <v>402</v>
      </c>
      <c r="N11" s="1878">
        <f>IF('8E- 4%'!N23="","",'8E- 4%'!N23)</f>
        <v>42262</v>
      </c>
      <c r="O11" s="520"/>
      <c r="P11" s="519"/>
      <c r="Q11" s="521"/>
    </row>
    <row r="12" spans="2:17" ht="7.5" customHeight="1" x14ac:dyDescent="0.25">
      <c r="B12" s="517"/>
      <c r="C12" s="522"/>
      <c r="D12" s="519"/>
      <c r="E12" s="518"/>
      <c r="F12" s="518"/>
      <c r="G12" s="518"/>
      <c r="H12" s="518"/>
      <c r="I12" s="518"/>
      <c r="J12" s="519"/>
      <c r="K12" s="519"/>
      <c r="L12" s="519"/>
      <c r="M12" s="519"/>
      <c r="N12" s="519"/>
      <c r="O12" s="520"/>
      <c r="P12" s="519"/>
      <c r="Q12" s="521"/>
    </row>
    <row r="13" spans="2:17" ht="15.75" thickBot="1" x14ac:dyDescent="0.3">
      <c r="B13" s="523"/>
      <c r="C13" s="592" t="s">
        <v>403</v>
      </c>
      <c r="D13" s="443"/>
      <c r="E13" s="444"/>
      <c r="F13" s="444"/>
      <c r="G13" s="444"/>
      <c r="H13" s="444"/>
      <c r="I13" s="444"/>
      <c r="J13" s="443"/>
      <c r="K13" s="443"/>
      <c r="L13" s="443"/>
      <c r="M13" s="443"/>
      <c r="N13" s="443"/>
      <c r="O13" s="445"/>
      <c r="P13" s="443"/>
      <c r="Q13" s="525"/>
    </row>
    <row r="14" spans="2:17" ht="15.75" thickBot="1" x14ac:dyDescent="0.3">
      <c r="B14" s="394"/>
      <c r="C14" s="1208"/>
      <c r="D14" s="515"/>
      <c r="E14" s="1208"/>
      <c r="F14" s="1208"/>
      <c r="G14" s="1208"/>
      <c r="H14" s="1208"/>
      <c r="I14" s="1208"/>
      <c r="J14" s="446" t="s">
        <v>404</v>
      </c>
      <c r="K14" s="447" t="s">
        <v>405</v>
      </c>
      <c r="L14" s="447" t="s">
        <v>406</v>
      </c>
      <c r="M14" s="447" t="s">
        <v>407</v>
      </c>
      <c r="N14" s="447" t="s">
        <v>408</v>
      </c>
      <c r="O14" s="447" t="s">
        <v>409</v>
      </c>
      <c r="P14" s="448" t="s">
        <v>410</v>
      </c>
      <c r="Q14" s="944"/>
    </row>
    <row r="15" spans="2:17" ht="15.75" thickBot="1" x14ac:dyDescent="0.3">
      <c r="B15" s="394"/>
      <c r="C15" s="524" t="s">
        <v>411</v>
      </c>
      <c r="D15" s="942"/>
      <c r="E15" s="1208"/>
      <c r="F15" s="1208"/>
      <c r="G15" s="1208"/>
      <c r="H15" s="449" t="s">
        <v>412</v>
      </c>
      <c r="I15" s="1208"/>
      <c r="J15" s="450"/>
      <c r="K15" s="451"/>
      <c r="L15" s="451"/>
      <c r="M15" s="451"/>
      <c r="N15" s="451"/>
      <c r="O15" s="451"/>
      <c r="P15" s="452"/>
      <c r="Q15" s="944"/>
    </row>
    <row r="16" spans="2:17" x14ac:dyDescent="0.25">
      <c r="B16" s="394"/>
      <c r="C16" s="526" t="s">
        <v>413</v>
      </c>
      <c r="D16" s="1327"/>
      <c r="E16" s="1327"/>
      <c r="F16" s="1327"/>
      <c r="G16" s="1328"/>
      <c r="H16" s="1879">
        <v>2.5000000000000001E-2</v>
      </c>
      <c r="I16" s="1329"/>
      <c r="J16" s="1880">
        <f>'8E- 4%'!J28+'8E 9%'!J28</f>
        <v>1372728</v>
      </c>
      <c r="K16" s="1881">
        <f>'8E- 4%'!K28+'8E 9%'!K28</f>
        <v>1407046.2</v>
      </c>
      <c r="L16" s="1881">
        <f>'8E- 4%'!L28+'8E 9%'!L28</f>
        <v>1442222.355</v>
      </c>
      <c r="M16" s="1881">
        <f>'8E- 4%'!M28+'8E 9%'!M28</f>
        <v>1478277.9138749999</v>
      </c>
      <c r="N16" s="1881">
        <f>'8E- 4%'!N28+'8E 9%'!N28</f>
        <v>1515234.8617218751</v>
      </c>
      <c r="O16" s="1881">
        <f>'8E- 4%'!O28+'8E 9%'!O28</f>
        <v>1553115.7332649219</v>
      </c>
      <c r="P16" s="1882">
        <f>'8E- 4%'!P28+'8E 9%'!P28</f>
        <v>1591943.6265965451</v>
      </c>
      <c r="Q16" s="944"/>
    </row>
    <row r="17" spans="2:17" ht="15.75" thickBot="1" x14ac:dyDescent="0.3">
      <c r="B17" s="394"/>
      <c r="C17" s="529" t="s">
        <v>361</v>
      </c>
      <c r="D17" s="530"/>
      <c r="E17" s="1330"/>
      <c r="F17" s="1330"/>
      <c r="G17" s="1331"/>
      <c r="H17" s="1883">
        <v>2.5000000000000001E-2</v>
      </c>
      <c r="I17" s="1332"/>
      <c r="J17" s="1963">
        <f>'8E- 4%'!J29+'8E 9%'!J29</f>
        <v>0</v>
      </c>
      <c r="K17" s="1881">
        <f>'8E- 4%'!K29+'8E 9%'!K29</f>
        <v>0</v>
      </c>
      <c r="L17" s="1881">
        <f>'8E- 4%'!L29+'8E 9%'!L29</f>
        <v>0</v>
      </c>
      <c r="M17" s="1881">
        <f>'8E- 4%'!M29+'8E 9%'!M29</f>
        <v>0</v>
      </c>
      <c r="N17" s="1881">
        <f>'8E- 4%'!N29+'8E 9%'!N29</f>
        <v>0</v>
      </c>
      <c r="O17" s="1881">
        <f>'8E- 4%'!O29+'8E 9%'!O29</f>
        <v>0</v>
      </c>
      <c r="P17" s="1882">
        <f>'8E- 4%'!P29+'8E 9%'!P29</f>
        <v>0</v>
      </c>
      <c r="Q17" s="944"/>
    </row>
    <row r="18" spans="2:17" ht="15.75" thickBot="1" x14ac:dyDescent="0.3">
      <c r="B18" s="394"/>
      <c r="C18" s="1876" t="s">
        <v>371</v>
      </c>
      <c r="D18" s="530"/>
      <c r="E18" s="530"/>
      <c r="F18" s="530"/>
      <c r="G18" s="1330"/>
      <c r="H18" s="1334"/>
      <c r="I18" s="1331"/>
      <c r="J18" s="1884">
        <f>'8E- 4%'!J30+'8E 9%'!J30</f>
        <v>0</v>
      </c>
      <c r="K18" s="1881">
        <f>'8E- 4%'!K30+'8E 9%'!K30</f>
        <v>0</v>
      </c>
      <c r="L18" s="1881">
        <f>'8E- 4%'!L30+'8E 9%'!L30</f>
        <v>0</v>
      </c>
      <c r="M18" s="1881">
        <f>'8E- 4%'!M30+'8E 9%'!M30</f>
        <v>0</v>
      </c>
      <c r="N18" s="1881">
        <f>'8E- 4%'!N30+'8E 9%'!N30</f>
        <v>0</v>
      </c>
      <c r="O18" s="1881">
        <f>'8E- 4%'!O30+'8E 9%'!O30</f>
        <v>0</v>
      </c>
      <c r="P18" s="1882">
        <f>'8E- 4%'!P30+'8E 9%'!P30</f>
        <v>0</v>
      </c>
      <c r="Q18" s="944"/>
    </row>
    <row r="19" spans="2:17" x14ac:dyDescent="0.25">
      <c r="B19" s="394"/>
      <c r="C19" s="529" t="s">
        <v>414</v>
      </c>
      <c r="D19" s="2472"/>
      <c r="E19" s="2472"/>
      <c r="F19" s="2472"/>
      <c r="G19" s="1328"/>
      <c r="H19" s="1879">
        <v>0</v>
      </c>
      <c r="I19" s="1332"/>
      <c r="J19" s="1885">
        <f>'8E- 4%'!J31+'8E 9%'!J31</f>
        <v>16625</v>
      </c>
      <c r="K19" s="1881">
        <f>'8E- 4%'!K31+'8E 9%'!K31</f>
        <v>17040.625</v>
      </c>
      <c r="L19" s="1881">
        <f>'8E- 4%'!L31+'8E 9%'!L31</f>
        <v>17466.640625</v>
      </c>
      <c r="M19" s="1881">
        <f>'8E- 4%'!M31+'8E 9%'!M31</f>
        <v>17903.306640625</v>
      </c>
      <c r="N19" s="1881">
        <f>'8E- 4%'!N31+'8E 9%'!N31</f>
        <v>18350.889306640624</v>
      </c>
      <c r="O19" s="1881">
        <f>'8E- 4%'!O31+'8E 9%'!O31</f>
        <v>18809.661539306639</v>
      </c>
      <c r="P19" s="1882">
        <f>'8E- 4%'!P31+'8E 9%'!P31</f>
        <v>19279.903077789306</v>
      </c>
      <c r="Q19" s="944"/>
    </row>
    <row r="20" spans="2:17" ht="15.75" thickBot="1" x14ac:dyDescent="0.3">
      <c r="B20" s="394"/>
      <c r="C20" s="529" t="s">
        <v>414</v>
      </c>
      <c r="D20" s="2472"/>
      <c r="E20" s="2472"/>
      <c r="F20" s="2472"/>
      <c r="G20" s="1328"/>
      <c r="H20" s="1886">
        <v>0</v>
      </c>
      <c r="I20" s="1332"/>
      <c r="J20" s="1887">
        <f>'8E- 4%'!J32+'8E 9%'!J32</f>
        <v>22265</v>
      </c>
      <c r="K20" s="1881">
        <f>'8E- 4%'!K32+'8E 9%'!K32</f>
        <v>22821.625</v>
      </c>
      <c r="L20" s="1881">
        <f>'8E- 4%'!L32+'8E 9%'!L32</f>
        <v>23392.165625000001</v>
      </c>
      <c r="M20" s="1881">
        <f>'8E- 4%'!M32+'8E 9%'!M32</f>
        <v>23976.969765624999</v>
      </c>
      <c r="N20" s="1881">
        <f>'8E- 4%'!N32+'8E 9%'!N32</f>
        <v>24576.394009765623</v>
      </c>
      <c r="O20" s="1881">
        <f>'8E- 4%'!O32+'8E 9%'!O32</f>
        <v>25190.803860009764</v>
      </c>
      <c r="P20" s="1882">
        <f>'8E- 4%'!P32+'8E 9%'!P32</f>
        <v>25820.573956510008</v>
      </c>
      <c r="Q20" s="944"/>
    </row>
    <row r="21" spans="2:17" x14ac:dyDescent="0.25">
      <c r="B21" s="394"/>
      <c r="C21" s="532" t="s">
        <v>415</v>
      </c>
      <c r="D21" s="1208"/>
      <c r="E21" s="1208"/>
      <c r="F21" s="1208"/>
      <c r="G21" s="1208"/>
      <c r="H21" s="1208"/>
      <c r="I21" s="533" t="s">
        <v>416</v>
      </c>
      <c r="J21" s="453">
        <f>SUM(J16:J20)</f>
        <v>1411618</v>
      </c>
      <c r="K21" s="454">
        <f t="shared" ref="K21:P21" si="0">SUM(K16:K20)</f>
        <v>1446908.45</v>
      </c>
      <c r="L21" s="454">
        <f t="shared" si="0"/>
        <v>1483081.1612499999</v>
      </c>
      <c r="M21" s="454">
        <f t="shared" si="0"/>
        <v>1520158.1902812498</v>
      </c>
      <c r="N21" s="454">
        <f t="shared" si="0"/>
        <v>1558162.1450382816</v>
      </c>
      <c r="O21" s="454">
        <f t="shared" si="0"/>
        <v>1597116.1986642382</v>
      </c>
      <c r="P21" s="455">
        <f t="shared" si="0"/>
        <v>1637044.1036308445</v>
      </c>
      <c r="Q21" s="944"/>
    </row>
    <row r="22" spans="2:17" x14ac:dyDescent="0.25">
      <c r="B22" s="394"/>
      <c r="C22" s="532"/>
      <c r="D22" s="533"/>
      <c r="E22" s="1208"/>
      <c r="F22" s="1208"/>
      <c r="G22" s="1208"/>
      <c r="H22" s="1208"/>
      <c r="I22" s="1208"/>
      <c r="J22" s="456"/>
      <c r="K22" s="457"/>
      <c r="L22" s="457"/>
      <c r="M22" s="457"/>
      <c r="N22" s="457"/>
      <c r="O22" s="457"/>
      <c r="P22" s="458"/>
      <c r="Q22" s="944"/>
    </row>
    <row r="23" spans="2:17" x14ac:dyDescent="0.25">
      <c r="B23" s="394"/>
      <c r="C23" s="532" t="s">
        <v>417</v>
      </c>
      <c r="D23" s="534"/>
      <c r="E23" s="1208"/>
      <c r="F23" s="1208"/>
      <c r="G23" s="1208"/>
      <c r="H23" s="1335"/>
      <c r="I23" s="942"/>
      <c r="J23" s="1885">
        <f>'8E- 4%'!J35+'8E 9%'!J35</f>
        <v>228433.19999999998</v>
      </c>
      <c r="K23" s="1888">
        <f>'8E- 4%'!K35+'8E 9%'!K35</f>
        <v>234144.02999999997</v>
      </c>
      <c r="L23" s="1888">
        <f>'8E- 4%'!L35+'8E 9%'!L35</f>
        <v>239997.63074999995</v>
      </c>
      <c r="M23" s="1888">
        <f>'8E- 4%'!M35+'8E 9%'!M35</f>
        <v>245997.57151874993</v>
      </c>
      <c r="N23" s="1888">
        <f>'8E- 4%'!N35+'8E 9%'!N35</f>
        <v>252147.51080671867</v>
      </c>
      <c r="O23" s="1888">
        <f>'8E- 4%'!O35+'8E 9%'!O35</f>
        <v>258451.19857688661</v>
      </c>
      <c r="P23" s="1889">
        <f>'8E- 4%'!P35+'8E 9%'!P35</f>
        <v>264912.47854130878</v>
      </c>
      <c r="Q23" s="944"/>
    </row>
    <row r="24" spans="2:17" x14ac:dyDescent="0.25">
      <c r="B24" s="394"/>
      <c r="C24" s="532"/>
      <c r="D24" s="534"/>
      <c r="E24" s="1208"/>
      <c r="F24" s="1208"/>
      <c r="G24" s="1208"/>
      <c r="H24" s="1208"/>
      <c r="I24" s="1208"/>
      <c r="J24" s="456"/>
      <c r="K24" s="457"/>
      <c r="L24" s="457"/>
      <c r="M24" s="457"/>
      <c r="N24" s="457"/>
      <c r="O24" s="457"/>
      <c r="P24" s="458"/>
      <c r="Q24" s="944"/>
    </row>
    <row r="25" spans="2:17" ht="15.75" thickBot="1" x14ac:dyDescent="0.3">
      <c r="B25" s="394"/>
      <c r="C25" s="535" t="s">
        <v>418</v>
      </c>
      <c r="D25" s="536"/>
      <c r="E25" s="1336"/>
      <c r="F25" s="1336"/>
      <c r="G25" s="1336"/>
      <c r="H25" s="1337"/>
      <c r="I25" s="1338"/>
      <c r="J25" s="1890">
        <f>'8E- 4%'!J37+'8E 9%'!J37</f>
        <v>0</v>
      </c>
      <c r="K25" s="1891">
        <f>'8E- 4%'!K37+'8E 9%'!K37</f>
        <v>0</v>
      </c>
      <c r="L25" s="1891">
        <f>'8E- 4%'!L37+'8E 9%'!L37</f>
        <v>0</v>
      </c>
      <c r="M25" s="1891">
        <f>'8E- 4%'!M37+'8E 9%'!M37</f>
        <v>0</v>
      </c>
      <c r="N25" s="1891">
        <f>'8E- 4%'!N37+'8E 9%'!N37</f>
        <v>0</v>
      </c>
      <c r="O25" s="1891">
        <f>'8E- 4%'!O37+'8E 9%'!O37</f>
        <v>0</v>
      </c>
      <c r="P25" s="1892">
        <f>'8E- 4%'!P37+'8E 9%'!P37</f>
        <v>0</v>
      </c>
      <c r="Q25" s="944"/>
    </row>
    <row r="26" spans="2:17" ht="15.75" thickTop="1" x14ac:dyDescent="0.25">
      <c r="B26" s="394"/>
      <c r="C26" s="524" t="s">
        <v>419</v>
      </c>
      <c r="D26" s="1208"/>
      <c r="E26" s="1208"/>
      <c r="F26" s="1208"/>
      <c r="G26" s="1208"/>
      <c r="H26" s="1208"/>
      <c r="I26" s="534" t="s">
        <v>416</v>
      </c>
      <c r="J26" s="459">
        <f>J21+J23+J25</f>
        <v>1640051.2</v>
      </c>
      <c r="K26" s="460">
        <f t="shared" ref="K26:P26" si="1">K21+K23+K25</f>
        <v>1681052.48</v>
      </c>
      <c r="L26" s="460">
        <f t="shared" si="1"/>
        <v>1723078.7919999999</v>
      </c>
      <c r="M26" s="460">
        <f t="shared" si="1"/>
        <v>1766155.7617999997</v>
      </c>
      <c r="N26" s="460">
        <f t="shared" si="1"/>
        <v>1810309.6558450002</v>
      </c>
      <c r="O26" s="460">
        <f t="shared" si="1"/>
        <v>1855567.3972411249</v>
      </c>
      <c r="P26" s="461">
        <f t="shared" si="1"/>
        <v>1901956.5821721533</v>
      </c>
      <c r="Q26" s="944"/>
    </row>
    <row r="27" spans="2:17" ht="15.75" thickBot="1" x14ac:dyDescent="0.3">
      <c r="B27" s="394"/>
      <c r="C27" s="524"/>
      <c r="D27" s="1208"/>
      <c r="E27" s="1208"/>
      <c r="F27" s="1208"/>
      <c r="G27" s="1208"/>
      <c r="H27" s="537" t="s">
        <v>420</v>
      </c>
      <c r="I27" s="1208"/>
      <c r="J27" s="456"/>
      <c r="K27" s="457"/>
      <c r="L27" s="457"/>
      <c r="M27" s="457"/>
      <c r="N27" s="457"/>
      <c r="O27" s="457"/>
      <c r="P27" s="458"/>
      <c r="Q27" s="944"/>
    </row>
    <row r="28" spans="2:17" x14ac:dyDescent="0.25">
      <c r="B28" s="394"/>
      <c r="C28" s="538" t="s">
        <v>421</v>
      </c>
      <c r="D28" s="1327"/>
      <c r="E28" s="1327"/>
      <c r="F28" s="1327"/>
      <c r="G28" s="1328"/>
      <c r="H28" s="1879">
        <v>0.05</v>
      </c>
      <c r="I28" s="1329"/>
      <c r="J28" s="1339">
        <f>-J21*$H28</f>
        <v>-70580.900000000009</v>
      </c>
      <c r="K28" s="1340">
        <f t="shared" ref="K28:P28" si="2">-K21*$H28</f>
        <v>-72345.422500000001</v>
      </c>
      <c r="L28" s="1340">
        <f t="shared" si="2"/>
        <v>-74154.0580625</v>
      </c>
      <c r="M28" s="1340">
        <f t="shared" si="2"/>
        <v>-76007.9095140625</v>
      </c>
      <c r="N28" s="1340">
        <f t="shared" si="2"/>
        <v>-77908.107251914087</v>
      </c>
      <c r="O28" s="1340">
        <f t="shared" si="2"/>
        <v>-79855.809933211916</v>
      </c>
      <c r="P28" s="1341">
        <f t="shared" si="2"/>
        <v>-81852.205181542231</v>
      </c>
      <c r="Q28" s="944"/>
    </row>
    <row r="29" spans="2:17" ht="15.75" thickBot="1" x14ac:dyDescent="0.3">
      <c r="B29" s="394"/>
      <c r="C29" s="539" t="s">
        <v>422</v>
      </c>
      <c r="D29" s="1336"/>
      <c r="E29" s="1336"/>
      <c r="F29" s="1336"/>
      <c r="G29" s="1336"/>
      <c r="H29" s="1893">
        <v>0.1</v>
      </c>
      <c r="I29" s="1342"/>
      <c r="J29" s="1343">
        <f>-J25*$H29</f>
        <v>0</v>
      </c>
      <c r="K29" s="1344">
        <f t="shared" ref="K29:P29" si="3">-K25*$H29</f>
        <v>0</v>
      </c>
      <c r="L29" s="1344">
        <f t="shared" si="3"/>
        <v>0</v>
      </c>
      <c r="M29" s="1344">
        <f t="shared" si="3"/>
        <v>0</v>
      </c>
      <c r="N29" s="1344">
        <f t="shared" si="3"/>
        <v>0</v>
      </c>
      <c r="O29" s="1344">
        <f t="shared" si="3"/>
        <v>0</v>
      </c>
      <c r="P29" s="1345">
        <f t="shared" si="3"/>
        <v>0</v>
      </c>
      <c r="Q29" s="944"/>
    </row>
    <row r="30" spans="2:17" ht="16.5" thickTop="1" thickBot="1" x14ac:dyDescent="0.3">
      <c r="B30" s="394"/>
      <c r="C30" s="540" t="s">
        <v>423</v>
      </c>
      <c r="D30" s="1208"/>
      <c r="E30" s="1208"/>
      <c r="F30" s="1208"/>
      <c r="G30" s="1208"/>
      <c r="H30" s="1208"/>
      <c r="I30" s="533" t="s">
        <v>416</v>
      </c>
      <c r="J30" s="1714">
        <f>J26+J28+J29</f>
        <v>1569470.3</v>
      </c>
      <c r="K30" s="1715">
        <f t="shared" ref="K30:P30" si="4">K26+K28+K29</f>
        <v>1608707.0574999999</v>
      </c>
      <c r="L30" s="1715">
        <f t="shared" si="4"/>
        <v>1648924.7339374998</v>
      </c>
      <c r="M30" s="1715">
        <f t="shared" si="4"/>
        <v>1690147.8522859372</v>
      </c>
      <c r="N30" s="1715">
        <f t="shared" si="4"/>
        <v>1732401.5485930862</v>
      </c>
      <c r="O30" s="1715">
        <f t="shared" si="4"/>
        <v>1775711.587307913</v>
      </c>
      <c r="P30" s="1716">
        <f t="shared" si="4"/>
        <v>1820104.376990611</v>
      </c>
      <c r="Q30" s="944"/>
    </row>
    <row r="31" spans="2:17" ht="7.5" customHeight="1" x14ac:dyDescent="0.25">
      <c r="B31" s="394"/>
      <c r="C31" s="942"/>
      <c r="D31" s="942"/>
      <c r="E31" s="1208"/>
      <c r="F31" s="1208"/>
      <c r="G31" s="1208"/>
      <c r="H31" s="1208"/>
      <c r="I31" s="1208"/>
      <c r="J31" s="942"/>
      <c r="K31" s="942"/>
      <c r="L31" s="942"/>
      <c r="M31" s="942"/>
      <c r="N31" s="942"/>
      <c r="O31" s="942"/>
      <c r="P31" s="942"/>
      <c r="Q31" s="944"/>
    </row>
    <row r="32" spans="2:17" ht="15.75" thickBot="1" x14ac:dyDescent="0.3">
      <c r="B32" s="517"/>
      <c r="C32" s="593" t="s">
        <v>424</v>
      </c>
      <c r="D32" s="463"/>
      <c r="E32" s="463"/>
      <c r="F32" s="463"/>
      <c r="G32" s="463"/>
      <c r="H32" s="463"/>
      <c r="I32" s="463"/>
      <c r="J32" s="463"/>
      <c r="K32" s="463"/>
      <c r="L32" s="463"/>
      <c r="M32" s="464"/>
      <c r="N32" s="463"/>
      <c r="O32" s="463"/>
      <c r="P32" s="463"/>
      <c r="Q32" s="521"/>
    </row>
    <row r="33" spans="2:17" ht="36.75" thickBot="1" x14ac:dyDescent="0.3">
      <c r="B33" s="517"/>
      <c r="C33" s="524" t="s">
        <v>425</v>
      </c>
      <c r="D33" s="515"/>
      <c r="E33" s="532"/>
      <c r="F33" s="541" t="s">
        <v>412</v>
      </c>
      <c r="G33" s="542"/>
      <c r="H33" s="518"/>
      <c r="I33" s="465" t="s">
        <v>426</v>
      </c>
      <c r="J33" s="446" t="s">
        <v>404</v>
      </c>
      <c r="K33" s="447" t="s">
        <v>405</v>
      </c>
      <c r="L33" s="447" t="s">
        <v>406</v>
      </c>
      <c r="M33" s="447" t="s">
        <v>407</v>
      </c>
      <c r="N33" s="447" t="s">
        <v>408</v>
      </c>
      <c r="O33" s="447" t="s">
        <v>409</v>
      </c>
      <c r="P33" s="448" t="s">
        <v>410</v>
      </c>
      <c r="Q33" s="516"/>
    </row>
    <row r="34" spans="2:17" ht="15.75" thickBot="1" x14ac:dyDescent="0.3">
      <c r="B34" s="517"/>
      <c r="C34" s="543" t="s">
        <v>427</v>
      </c>
      <c r="D34" s="544"/>
      <c r="E34" s="545"/>
      <c r="F34" s="1879">
        <v>3.5000000000000003E-2</v>
      </c>
      <c r="G34" s="1346"/>
      <c r="H34" s="546"/>
      <c r="I34" s="466">
        <f>IFERROR(J34/'1B - 4%'!$L$23,"")</f>
        <v>1997.3354999999999</v>
      </c>
      <c r="J34" s="1890">
        <f>'8E- 4%'!J46+'8E 9%'!J46</f>
        <v>159786.84</v>
      </c>
      <c r="K34" s="1895">
        <f>'8E- 4%'!K46+'8E 9%'!K46</f>
        <v>165379.37940000001</v>
      </c>
      <c r="L34" s="1895">
        <f>'8E- 4%'!L46+'8E 9%'!L46</f>
        <v>171167.657679</v>
      </c>
      <c r="M34" s="1895">
        <f>'8E- 4%'!M46+'8E 9%'!M46</f>
        <v>177158.525697765</v>
      </c>
      <c r="N34" s="1895">
        <f>'8E- 4%'!N46+'8E 9%'!N46</f>
        <v>183359.07409718679</v>
      </c>
      <c r="O34" s="1895">
        <f>'8E- 4%'!O46+'8E 9%'!O46</f>
        <v>189776.64169058832</v>
      </c>
      <c r="P34" s="1896">
        <f>'8E- 4%'!P46+'8E 9%'!P46</f>
        <v>196418.8241497589</v>
      </c>
      <c r="Q34" s="516"/>
    </row>
    <row r="35" spans="2:17" ht="15.75" thickTop="1" x14ac:dyDescent="0.25">
      <c r="B35" s="550"/>
      <c r="C35" s="551" t="s">
        <v>428</v>
      </c>
      <c r="D35" s="552"/>
      <c r="E35" s="553"/>
      <c r="F35" s="1897">
        <v>3.5000000000000003E-2</v>
      </c>
      <c r="G35" s="1347"/>
      <c r="H35" s="554"/>
      <c r="I35" s="467">
        <f>IFERROR(J35/'1B - 4%'!$L$23,"")</f>
        <v>1176.6624999999999</v>
      </c>
      <c r="J35" s="1898">
        <f>'8E- 4%'!J47+'8E 9%'!J47</f>
        <v>94133</v>
      </c>
      <c r="K35" s="1899">
        <f>'8E- 4%'!K47+'8E 9%'!K47</f>
        <v>96486.325000000012</v>
      </c>
      <c r="L35" s="1899">
        <f>'8E- 4%'!L47+'8E 9%'!L47</f>
        <v>98898.483124999999</v>
      </c>
      <c r="M35" s="1899">
        <f>'8E- 4%'!M47+'8E 9%'!M47</f>
        <v>101370.94520312501</v>
      </c>
      <c r="N35" s="1899">
        <f>'8E- 4%'!N47+'8E 9%'!N47</f>
        <v>103905.21883320314</v>
      </c>
      <c r="O35" s="1899">
        <f>'8E- 4%'!O47+'8E 9%'!O47</f>
        <v>106502.84930403321</v>
      </c>
      <c r="P35" s="1900">
        <f>'8E- 4%'!P47+'8E 9%'!P47</f>
        <v>109165.42053663403</v>
      </c>
      <c r="Q35" s="516"/>
    </row>
    <row r="36" spans="2:17" x14ac:dyDescent="0.25">
      <c r="B36" s="517"/>
      <c r="C36" s="551" t="s">
        <v>429</v>
      </c>
      <c r="D36" s="552"/>
      <c r="E36" s="553"/>
      <c r="F36" s="1897">
        <v>3.5000000000000003E-2</v>
      </c>
      <c r="G36" s="1347"/>
      <c r="H36" s="554"/>
      <c r="I36" s="467">
        <f>IFERROR(J36/'1B - 4%'!$L$23,"")</f>
        <v>212.5</v>
      </c>
      <c r="J36" s="1898">
        <f>'8E- 4%'!J48+'8E 9%'!J48</f>
        <v>17000</v>
      </c>
      <c r="K36" s="1899">
        <f>'8E- 4%'!K48+'8E 9%'!K48</f>
        <v>17595</v>
      </c>
      <c r="L36" s="1899">
        <f>'8E- 4%'!L48+'8E 9%'!L48</f>
        <v>18210.825000000001</v>
      </c>
      <c r="M36" s="1899">
        <f>'8E- 4%'!M48+'8E 9%'!M48</f>
        <v>18848.203874999999</v>
      </c>
      <c r="N36" s="1899">
        <f>'8E- 4%'!N48+'8E 9%'!N48</f>
        <v>19507.891010625</v>
      </c>
      <c r="O36" s="1899">
        <f>'8E- 4%'!O48+'8E 9%'!O48</f>
        <v>20190.667195996877</v>
      </c>
      <c r="P36" s="1900">
        <f>'8E- 4%'!P48+'8E 9%'!P48</f>
        <v>20897.340547856769</v>
      </c>
      <c r="Q36" s="516"/>
    </row>
    <row r="37" spans="2:17" x14ac:dyDescent="0.25">
      <c r="B37" s="517"/>
      <c r="C37" s="551" t="s">
        <v>430</v>
      </c>
      <c r="D37" s="553"/>
      <c r="E37" s="552"/>
      <c r="F37" s="1897">
        <v>3.5000000000000003E-2</v>
      </c>
      <c r="G37" s="1347"/>
      <c r="H37" s="554"/>
      <c r="I37" s="467">
        <f>IFERROR(J37/'1B - 4%'!$L$23,"")</f>
        <v>33.25</v>
      </c>
      <c r="J37" s="1898">
        <f>'8E- 4%'!J49+'8E 9%'!J49</f>
        <v>2660</v>
      </c>
      <c r="K37" s="1899">
        <f>'8E- 4%'!K49+'8E 9%'!K49</f>
        <v>2753.1</v>
      </c>
      <c r="L37" s="1899">
        <f>'8E- 4%'!L49+'8E 9%'!L49</f>
        <v>2849.4584999999997</v>
      </c>
      <c r="M37" s="1899">
        <f>'8E- 4%'!M49+'8E 9%'!M49</f>
        <v>2949.1895475000001</v>
      </c>
      <c r="N37" s="1899">
        <f>'8E- 4%'!N49+'8E 9%'!N49</f>
        <v>3052.4111816625</v>
      </c>
      <c r="O37" s="1899">
        <f>'8E- 4%'!O49+'8E 9%'!O49</f>
        <v>3159.2455730206875</v>
      </c>
      <c r="P37" s="1900">
        <f>'8E- 4%'!P49+'8E 9%'!P49</f>
        <v>3269.8191680764112</v>
      </c>
      <c r="Q37" s="516"/>
    </row>
    <row r="38" spans="2:17" x14ac:dyDescent="0.25">
      <c r="B38" s="517"/>
      <c r="C38" s="551" t="s">
        <v>431</v>
      </c>
      <c r="D38" s="552"/>
      <c r="E38" s="553"/>
      <c r="F38" s="1897">
        <v>3.5000000000000003E-2</v>
      </c>
      <c r="G38" s="1347"/>
      <c r="H38" s="554"/>
      <c r="I38" s="467">
        <f>IFERROR(J38/'1B - 4%'!$L$23,"")</f>
        <v>498.75</v>
      </c>
      <c r="J38" s="1898">
        <f>'8E- 4%'!J50+'8E 9%'!J50</f>
        <v>39900</v>
      </c>
      <c r="K38" s="1899">
        <f>'8E- 4%'!K50+'8E 9%'!K50</f>
        <v>41296.5</v>
      </c>
      <c r="L38" s="1899">
        <f>'8E- 4%'!L50+'8E 9%'!L50</f>
        <v>42741.877500000002</v>
      </c>
      <c r="M38" s="1899">
        <f>'8E- 4%'!M50+'8E 9%'!M50</f>
        <v>44237.843212500004</v>
      </c>
      <c r="N38" s="1899">
        <f>'8E- 4%'!N50+'8E 9%'!N50</f>
        <v>45786.167724937506</v>
      </c>
      <c r="O38" s="1899">
        <f>'8E- 4%'!O50+'8E 9%'!O50</f>
        <v>47388.683595310322</v>
      </c>
      <c r="P38" s="1900">
        <f>'8E- 4%'!P50+'8E 9%'!P50</f>
        <v>49047.28752114618</v>
      </c>
      <c r="Q38" s="516"/>
    </row>
    <row r="39" spans="2:17" x14ac:dyDescent="0.25">
      <c r="B39" s="517"/>
      <c r="C39" s="551" t="s">
        <v>432</v>
      </c>
      <c r="D39" s="552"/>
      <c r="E39" s="553"/>
      <c r="F39" s="1897">
        <v>3.5000000000000003E-2</v>
      </c>
      <c r="G39" s="1347"/>
      <c r="H39" s="554"/>
      <c r="I39" s="467">
        <f>IFERROR(J39/'1B - 4%'!$L$23,"")</f>
        <v>249.17500000000001</v>
      </c>
      <c r="J39" s="1898">
        <f>'8E- 4%'!J51+'8E 9%'!J51</f>
        <v>19934</v>
      </c>
      <c r="K39" s="1899">
        <f>'8E- 4%'!K51+'8E 9%'!K51</f>
        <v>20631.690000000002</v>
      </c>
      <c r="L39" s="1899">
        <f>'8E- 4%'!L51+'8E 9%'!L51</f>
        <v>21353.799149999999</v>
      </c>
      <c r="M39" s="1899">
        <f>'8E- 4%'!M51+'8E 9%'!M51</f>
        <v>22101.18212025</v>
      </c>
      <c r="N39" s="1899">
        <f>'8E- 4%'!N51+'8E 9%'!N51</f>
        <v>22874.723494458751</v>
      </c>
      <c r="O39" s="1899">
        <f>'8E- 4%'!O51+'8E 9%'!O51</f>
        <v>23675.338816764808</v>
      </c>
      <c r="P39" s="1900">
        <f>'8E- 4%'!P51+'8E 9%'!P51</f>
        <v>24503.975675351576</v>
      </c>
      <c r="Q39" s="516"/>
    </row>
    <row r="40" spans="2:17" x14ac:dyDescent="0.25">
      <c r="B40" s="517"/>
      <c r="C40" s="551" t="s">
        <v>433</v>
      </c>
      <c r="D40" s="552"/>
      <c r="E40" s="553"/>
      <c r="F40" s="1897">
        <v>3.5000000000000003E-2</v>
      </c>
      <c r="G40" s="1347"/>
      <c r="H40" s="554"/>
      <c r="I40" s="467">
        <f>IFERROR(J40/'1B - 4%'!$L$23,"")</f>
        <v>15</v>
      </c>
      <c r="J40" s="1898">
        <f>'8E- 4%'!J52+'8E 9%'!J52</f>
        <v>1200</v>
      </c>
      <c r="K40" s="1899">
        <f>'8E- 4%'!K52+'8E 9%'!K52</f>
        <v>1242</v>
      </c>
      <c r="L40" s="1899">
        <f>'8E- 4%'!L52+'8E 9%'!L52</f>
        <v>1285.47</v>
      </c>
      <c r="M40" s="1899">
        <f>'8E- 4%'!M52+'8E 9%'!M52</f>
        <v>1330.46145</v>
      </c>
      <c r="N40" s="1899">
        <f>'8E- 4%'!N52+'8E 9%'!N52</f>
        <v>1377.0276007499999</v>
      </c>
      <c r="O40" s="1899">
        <f>'8E- 4%'!O52+'8E 9%'!O52</f>
        <v>1425.2235667762498</v>
      </c>
      <c r="P40" s="1900">
        <f>'8E- 4%'!P52+'8E 9%'!P52</f>
        <v>1475.1063916134185</v>
      </c>
      <c r="Q40" s="516"/>
    </row>
    <row r="41" spans="2:17" x14ac:dyDescent="0.25">
      <c r="B41" s="517"/>
      <c r="C41" s="551" t="s">
        <v>434</v>
      </c>
      <c r="D41" s="553"/>
      <c r="E41" s="552"/>
      <c r="F41" s="1897">
        <v>3.5000000000000003E-2</v>
      </c>
      <c r="G41" s="1347"/>
      <c r="H41" s="554"/>
      <c r="I41" s="467">
        <f>IFERROR(J41/'1B - 4%'!$L$23,"")</f>
        <v>0</v>
      </c>
      <c r="J41" s="1898">
        <f>'8E- 4%'!J53+'8E 9%'!J53</f>
        <v>0</v>
      </c>
      <c r="K41" s="1899">
        <f>'8E- 4%'!K53+'8E 9%'!K53</f>
        <v>0</v>
      </c>
      <c r="L41" s="1899">
        <f>'8E- 4%'!L53+'8E 9%'!L53</f>
        <v>0</v>
      </c>
      <c r="M41" s="1899">
        <f>'8E- 4%'!M53+'8E 9%'!M53</f>
        <v>0</v>
      </c>
      <c r="N41" s="1899">
        <f>'8E- 4%'!N53+'8E 9%'!N53</f>
        <v>0</v>
      </c>
      <c r="O41" s="1899">
        <f>'8E- 4%'!O53+'8E 9%'!O53</f>
        <v>0</v>
      </c>
      <c r="P41" s="1900">
        <f>'8E- 4%'!P53+'8E 9%'!P53</f>
        <v>0</v>
      </c>
      <c r="Q41" s="516"/>
    </row>
    <row r="42" spans="2:17" x14ac:dyDescent="0.25">
      <c r="B42" s="517"/>
      <c r="C42" s="551" t="s">
        <v>435</v>
      </c>
      <c r="D42" s="552"/>
      <c r="E42" s="553"/>
      <c r="F42" s="1897">
        <v>3.5000000000000003E-2</v>
      </c>
      <c r="G42" s="1347"/>
      <c r="H42" s="554"/>
      <c r="I42" s="467">
        <f>IFERROR(J42/'1B - 4%'!$L$23,"")</f>
        <v>149.625</v>
      </c>
      <c r="J42" s="1898">
        <f>'8E- 4%'!J54+'8E 9%'!J54</f>
        <v>11970</v>
      </c>
      <c r="K42" s="1899">
        <f>'8E- 4%'!K54+'8E 9%'!K54</f>
        <v>12388.95</v>
      </c>
      <c r="L42" s="1899">
        <f>'8E- 4%'!L54+'8E 9%'!L54</f>
        <v>12822.563249999999</v>
      </c>
      <c r="M42" s="1899">
        <f>'8E- 4%'!M54+'8E 9%'!M54</f>
        <v>13271.35296375</v>
      </c>
      <c r="N42" s="1899">
        <f>'8E- 4%'!N54+'8E 9%'!N54</f>
        <v>13735.85031748125</v>
      </c>
      <c r="O42" s="1899">
        <f>'8E- 4%'!O54+'8E 9%'!O54</f>
        <v>14216.605078593093</v>
      </c>
      <c r="P42" s="1900">
        <f>'8E- 4%'!P54+'8E 9%'!P54</f>
        <v>14714.186256343852</v>
      </c>
      <c r="Q42" s="516"/>
    </row>
    <row r="43" spans="2:17" x14ac:dyDescent="0.25">
      <c r="B43" s="517"/>
      <c r="C43" s="551" t="s">
        <v>436</v>
      </c>
      <c r="D43" s="553"/>
      <c r="E43" s="553"/>
      <c r="F43" s="1897">
        <v>3.5000000000000003E-2</v>
      </c>
      <c r="G43" s="1347"/>
      <c r="H43" s="554"/>
      <c r="I43" s="467">
        <f>IFERROR(J43/'1B - 4%'!$L$23,"")</f>
        <v>332.5</v>
      </c>
      <c r="J43" s="1898">
        <f>'8E- 4%'!J55+'8E 9%'!J55</f>
        <v>26600</v>
      </c>
      <c r="K43" s="1899">
        <f>'8E- 4%'!K55+'8E 9%'!K55</f>
        <v>27531</v>
      </c>
      <c r="L43" s="1899">
        <f>'8E- 4%'!L55+'8E 9%'!L55</f>
        <v>28494.584999999999</v>
      </c>
      <c r="M43" s="1899">
        <f>'8E- 4%'!M55+'8E 9%'!M55</f>
        <v>29491.895474999998</v>
      </c>
      <c r="N43" s="1899">
        <f>'8E- 4%'!N55+'8E 9%'!N55</f>
        <v>30524.111816624998</v>
      </c>
      <c r="O43" s="1899">
        <f>'8E- 4%'!O55+'8E 9%'!O55</f>
        <v>31592.455730206872</v>
      </c>
      <c r="P43" s="1900">
        <f>'8E- 4%'!P55+'8E 9%'!P55</f>
        <v>32698.191680764114</v>
      </c>
      <c r="Q43" s="516"/>
    </row>
    <row r="44" spans="2:17" x14ac:dyDescent="0.25">
      <c r="B44" s="517"/>
      <c r="C44" s="551" t="s">
        <v>437</v>
      </c>
      <c r="D44" s="552"/>
      <c r="E44" s="553"/>
      <c r="F44" s="1897">
        <v>3.5000000000000003E-2</v>
      </c>
      <c r="G44" s="1347"/>
      <c r="H44" s="554"/>
      <c r="I44" s="467">
        <f>IFERROR(J44/'1B - 4%'!$L$23,"")</f>
        <v>139.65</v>
      </c>
      <c r="J44" s="1898">
        <f>'8E- 4%'!J56+'8E 9%'!J56</f>
        <v>11172</v>
      </c>
      <c r="K44" s="1899">
        <f>'8E- 4%'!K56+'8E 9%'!K56</f>
        <v>11563.02</v>
      </c>
      <c r="L44" s="1899">
        <f>'8E- 4%'!L56+'8E 9%'!L56</f>
        <v>11967.725699999999</v>
      </c>
      <c r="M44" s="1899">
        <f>'8E- 4%'!M56+'8E 9%'!M56</f>
        <v>12386.596099499999</v>
      </c>
      <c r="N44" s="1899">
        <f>'8E- 4%'!N56+'8E 9%'!N56</f>
        <v>12820.1269629825</v>
      </c>
      <c r="O44" s="1899">
        <f>'8E- 4%'!O56+'8E 9%'!O56</f>
        <v>13268.831406686888</v>
      </c>
      <c r="P44" s="1900">
        <f>'8E- 4%'!P56+'8E 9%'!P56</f>
        <v>13733.240505920929</v>
      </c>
      <c r="Q44" s="516"/>
    </row>
    <row r="45" spans="2:17" x14ac:dyDescent="0.25">
      <c r="B45" s="517"/>
      <c r="C45" s="551" t="s">
        <v>438</v>
      </c>
      <c r="D45" s="553"/>
      <c r="E45" s="553"/>
      <c r="F45" s="1897">
        <v>3.5000000000000003E-2</v>
      </c>
      <c r="G45" s="1347"/>
      <c r="H45" s="554"/>
      <c r="I45" s="467">
        <f>IFERROR(J45/'1B - 4%'!$L$23,"")</f>
        <v>83.125</v>
      </c>
      <c r="J45" s="1898">
        <f>'8E- 4%'!J57+'8E 9%'!J57</f>
        <v>6650</v>
      </c>
      <c r="K45" s="1899">
        <f>'8E- 4%'!K57+'8E 9%'!K57</f>
        <v>6882.75</v>
      </c>
      <c r="L45" s="1899">
        <f>'8E- 4%'!L57+'8E 9%'!L57</f>
        <v>7123.6462499999998</v>
      </c>
      <c r="M45" s="1899">
        <f>'8E- 4%'!M57+'8E 9%'!M57</f>
        <v>7372.9738687499994</v>
      </c>
      <c r="N45" s="1899">
        <f>'8E- 4%'!N57+'8E 9%'!N57</f>
        <v>7631.0279541562495</v>
      </c>
      <c r="O45" s="1899">
        <f>'8E- 4%'!O57+'8E 9%'!O57</f>
        <v>7898.1139325517179</v>
      </c>
      <c r="P45" s="1900">
        <f>'8E- 4%'!P57+'8E 9%'!P57</f>
        <v>8174.5479201910284</v>
      </c>
      <c r="Q45" s="516"/>
    </row>
    <row r="46" spans="2:17" x14ac:dyDescent="0.25">
      <c r="B46" s="517"/>
      <c r="C46" s="551" t="s">
        <v>439</v>
      </c>
      <c r="D46" s="553"/>
      <c r="E46" s="553"/>
      <c r="F46" s="1897">
        <v>3.5000000000000003E-2</v>
      </c>
      <c r="G46" s="1347"/>
      <c r="H46" s="554"/>
      <c r="I46" s="467">
        <f>IFERROR(J46/'1B - 4%'!$L$23,"")</f>
        <v>166.25</v>
      </c>
      <c r="J46" s="1898">
        <f>'8E- 4%'!J58+'8E 9%'!J58</f>
        <v>13300</v>
      </c>
      <c r="K46" s="1899">
        <f>'8E- 4%'!K58+'8E 9%'!K58</f>
        <v>13765.5</v>
      </c>
      <c r="L46" s="1899">
        <f>'8E- 4%'!L58+'8E 9%'!L58</f>
        <v>14247.2925</v>
      </c>
      <c r="M46" s="1899">
        <f>'8E- 4%'!M58+'8E 9%'!M58</f>
        <v>14745.947737499999</v>
      </c>
      <c r="N46" s="1899">
        <f>'8E- 4%'!N58+'8E 9%'!N58</f>
        <v>15262.055908312499</v>
      </c>
      <c r="O46" s="1899">
        <f>'8E- 4%'!O58+'8E 9%'!O58</f>
        <v>15796.227865103436</v>
      </c>
      <c r="P46" s="1900">
        <f>'8E- 4%'!P58+'8E 9%'!P58</f>
        <v>16349.095840382057</v>
      </c>
      <c r="Q46" s="516"/>
    </row>
    <row r="47" spans="2:17" x14ac:dyDescent="0.25">
      <c r="B47" s="517"/>
      <c r="C47" s="551" t="s">
        <v>440</v>
      </c>
      <c r="D47" s="553"/>
      <c r="E47" s="553"/>
      <c r="F47" s="1897">
        <v>3.5000000000000003E-2</v>
      </c>
      <c r="G47" s="1347"/>
      <c r="H47" s="554"/>
      <c r="I47" s="467">
        <f>IFERROR(J47/'1B - 4%'!$L$23,"")</f>
        <v>83.125</v>
      </c>
      <c r="J47" s="1898">
        <f>'8E- 4%'!J59+'8E 9%'!J59</f>
        <v>6650</v>
      </c>
      <c r="K47" s="1899">
        <f>'8E- 4%'!K59+'8E 9%'!K59</f>
        <v>6882.75</v>
      </c>
      <c r="L47" s="1899">
        <f>'8E- 4%'!L59+'8E 9%'!L59</f>
        <v>7123.6462499999998</v>
      </c>
      <c r="M47" s="1899">
        <f>'8E- 4%'!M59+'8E 9%'!M59</f>
        <v>7372.9738687499994</v>
      </c>
      <c r="N47" s="1899">
        <f>'8E- 4%'!N59+'8E 9%'!N59</f>
        <v>7631.0279541562495</v>
      </c>
      <c r="O47" s="1899">
        <f>'8E- 4%'!O59+'8E 9%'!O59</f>
        <v>7898.1139325517179</v>
      </c>
      <c r="P47" s="1900">
        <f>'8E- 4%'!P59+'8E 9%'!P59</f>
        <v>8174.5479201910284</v>
      </c>
      <c r="Q47" s="516"/>
    </row>
    <row r="48" spans="2:17" x14ac:dyDescent="0.25">
      <c r="B48" s="517"/>
      <c r="C48" s="551" t="s">
        <v>441</v>
      </c>
      <c r="D48" s="553"/>
      <c r="E48" s="553"/>
      <c r="F48" s="1897">
        <v>3.5000000000000003E-2</v>
      </c>
      <c r="G48" s="1347"/>
      <c r="H48" s="554"/>
      <c r="I48" s="467">
        <f>IFERROR(J48/'1B - 4%'!$L$23,"")</f>
        <v>88.112499999999997</v>
      </c>
      <c r="J48" s="1898">
        <f>'8E- 4%'!J60+'8E 9%'!J60</f>
        <v>7049</v>
      </c>
      <c r="K48" s="1899">
        <f>'8E- 4%'!K60+'8E 9%'!K60</f>
        <v>7295.7150000000001</v>
      </c>
      <c r="L48" s="1899">
        <f>'8E- 4%'!L60+'8E 9%'!L60</f>
        <v>7551.0650249999999</v>
      </c>
      <c r="M48" s="1899">
        <f>'8E- 4%'!M60+'8E 9%'!M60</f>
        <v>7815.3523008749999</v>
      </c>
      <c r="N48" s="1899">
        <f>'8E- 4%'!N60+'8E 9%'!N60</f>
        <v>8088.8896314056256</v>
      </c>
      <c r="O48" s="1899">
        <f>'8E- 4%'!O60+'8E 9%'!O60</f>
        <v>8372.0007685048222</v>
      </c>
      <c r="P48" s="1900">
        <f>'8E- 4%'!P60+'8E 9%'!P60</f>
        <v>8665.02079540249</v>
      </c>
      <c r="Q48" s="516"/>
    </row>
    <row r="49" spans="2:17" x14ac:dyDescent="0.25">
      <c r="B49" s="517"/>
      <c r="C49" s="551" t="s">
        <v>442</v>
      </c>
      <c r="D49" s="552"/>
      <c r="E49" s="553"/>
      <c r="F49" s="1897">
        <v>3.5000000000000003E-2</v>
      </c>
      <c r="G49" s="1347"/>
      <c r="H49" s="554"/>
      <c r="I49" s="467">
        <f>IFERROR(J49/'1B - 4%'!$L$23,"")</f>
        <v>1055.6875</v>
      </c>
      <c r="J49" s="1898">
        <f>'8E- 4%'!J61+'8E 9%'!J61</f>
        <v>84455</v>
      </c>
      <c r="K49" s="1899">
        <f>'8E- 4%'!K61+'8E 9%'!K61</f>
        <v>87833.2</v>
      </c>
      <c r="L49" s="1899">
        <f>'8E- 4%'!L61+'8E 9%'!L61</f>
        <v>91346.527999999991</v>
      </c>
      <c r="M49" s="1899">
        <f>'8E- 4%'!M61+'8E 9%'!M61</f>
        <v>95000.389119999993</v>
      </c>
      <c r="N49" s="1899">
        <f>'8E- 4%'!N61+'8E 9%'!N61</f>
        <v>98800.404684799985</v>
      </c>
      <c r="O49" s="1899">
        <f>'8E- 4%'!O61+'8E 9%'!O61</f>
        <v>102752.42087219199</v>
      </c>
      <c r="P49" s="1900">
        <f>'8E- 4%'!P61+'8E 9%'!P61</f>
        <v>106862.51770707968</v>
      </c>
      <c r="Q49" s="516"/>
    </row>
    <row r="50" spans="2:17" x14ac:dyDescent="0.25">
      <c r="B50" s="517"/>
      <c r="C50" s="551" t="s">
        <v>443</v>
      </c>
      <c r="D50" s="552"/>
      <c r="E50" s="553"/>
      <c r="F50" s="1897">
        <v>3.5000000000000003E-2</v>
      </c>
      <c r="G50" s="1347"/>
      <c r="H50" s="554"/>
      <c r="I50" s="467">
        <f>IFERROR(J50/'1B - 4%'!$L$23,"")</f>
        <v>232.75</v>
      </c>
      <c r="J50" s="1898">
        <f>'8E- 4%'!J62+'8E 9%'!J62</f>
        <v>18620</v>
      </c>
      <c r="K50" s="1899">
        <f>'8E- 4%'!K62+'8E 9%'!K62</f>
        <v>19271.7</v>
      </c>
      <c r="L50" s="1899">
        <f>'8E- 4%'!L62+'8E 9%'!L62</f>
        <v>19946.209499999997</v>
      </c>
      <c r="M50" s="1899">
        <f>'8E- 4%'!M62+'8E 9%'!M62</f>
        <v>20644.326832499999</v>
      </c>
      <c r="N50" s="1899">
        <f>'8E- 4%'!N62+'8E 9%'!N62</f>
        <v>21366.878271637499</v>
      </c>
      <c r="O50" s="1899">
        <f>'8E- 4%'!O62+'8E 9%'!O62</f>
        <v>22114.719011144811</v>
      </c>
      <c r="P50" s="1900">
        <f>'8E- 4%'!P62+'8E 9%'!P62</f>
        <v>22888.734176534879</v>
      </c>
      <c r="Q50" s="516"/>
    </row>
    <row r="51" spans="2:17" x14ac:dyDescent="0.25">
      <c r="B51" s="558"/>
      <c r="C51" s="551" t="s">
        <v>444</v>
      </c>
      <c r="D51" s="552"/>
      <c r="E51" s="553"/>
      <c r="F51" s="1897">
        <v>3.5000000000000003E-2</v>
      </c>
      <c r="G51" s="1347"/>
      <c r="H51" s="554"/>
      <c r="I51" s="467">
        <f>IFERROR(J51/'1B - 4%'!$L$23,"")</f>
        <v>133</v>
      </c>
      <c r="J51" s="1898">
        <f>'8E- 4%'!J63+'8E 9%'!J63</f>
        <v>10640</v>
      </c>
      <c r="K51" s="1899">
        <f>'8E- 4%'!K63+'8E 9%'!K63</f>
        <v>11012.4</v>
      </c>
      <c r="L51" s="1899">
        <f>'8E- 4%'!L63+'8E 9%'!L63</f>
        <v>11397.833999999999</v>
      </c>
      <c r="M51" s="1899">
        <f>'8E- 4%'!M63+'8E 9%'!M63</f>
        <v>11796.75819</v>
      </c>
      <c r="N51" s="1899">
        <f>'8E- 4%'!N63+'8E 9%'!N63</f>
        <v>12209.64472665</v>
      </c>
      <c r="O51" s="1899">
        <f>'8E- 4%'!O63+'8E 9%'!O63</f>
        <v>12636.98229208275</v>
      </c>
      <c r="P51" s="1900">
        <f>'8E- 4%'!P63+'8E 9%'!P63</f>
        <v>13079.276672305645</v>
      </c>
      <c r="Q51" s="559"/>
    </row>
    <row r="52" spans="2:17" x14ac:dyDescent="0.25">
      <c r="B52" s="517"/>
      <c r="C52" s="551" t="s">
        <v>445</v>
      </c>
      <c r="D52" s="553"/>
      <c r="E52" s="553"/>
      <c r="F52" s="1897">
        <v>3.5000000000000003E-2</v>
      </c>
      <c r="G52" s="1347"/>
      <c r="H52" s="554"/>
      <c r="I52" s="467">
        <f>IFERROR(J52/'1B - 4%'!$L$23,"")</f>
        <v>207.8125</v>
      </c>
      <c r="J52" s="1898">
        <f>'8E- 4%'!J64+'8E 9%'!J64</f>
        <v>16625</v>
      </c>
      <c r="K52" s="1899">
        <f>'8E- 4%'!K64+'8E 9%'!K64</f>
        <v>17206.875</v>
      </c>
      <c r="L52" s="1899">
        <f>'8E- 4%'!L64+'8E 9%'!L64</f>
        <v>17809.115624999999</v>
      </c>
      <c r="M52" s="1899">
        <f>'8E- 4%'!M64+'8E 9%'!M64</f>
        <v>18432.434671874998</v>
      </c>
      <c r="N52" s="1899">
        <f>'8E- 4%'!N64+'8E 9%'!N64</f>
        <v>19077.569885390625</v>
      </c>
      <c r="O52" s="1899">
        <f>'8E- 4%'!O64+'8E 9%'!O64</f>
        <v>19745.284831379297</v>
      </c>
      <c r="P52" s="1900">
        <f>'8E- 4%'!P64+'8E 9%'!P64</f>
        <v>20436.369800477572</v>
      </c>
      <c r="Q52" s="516"/>
    </row>
    <row r="53" spans="2:17" x14ac:dyDescent="0.25">
      <c r="B53" s="517"/>
      <c r="C53" s="551" t="s">
        <v>446</v>
      </c>
      <c r="D53" s="553"/>
      <c r="E53" s="553"/>
      <c r="F53" s="1897">
        <v>3.5000000000000003E-2</v>
      </c>
      <c r="G53" s="1347"/>
      <c r="H53" s="554"/>
      <c r="I53" s="467">
        <f>IFERROR(J53/'1B - 4%'!$L$23,"")</f>
        <v>56.25</v>
      </c>
      <c r="J53" s="1898">
        <f>'8E- 4%'!J65+'8E 9%'!J65</f>
        <v>4500</v>
      </c>
      <c r="K53" s="1899">
        <f>'8E- 4%'!K65+'8E 9%'!K65</f>
        <v>4657.5</v>
      </c>
      <c r="L53" s="1899">
        <f>'8E- 4%'!L65+'8E 9%'!L65</f>
        <v>4820.5124999999998</v>
      </c>
      <c r="M53" s="1899">
        <f>'8E- 4%'!M65+'8E 9%'!M65</f>
        <v>4989.2304375000003</v>
      </c>
      <c r="N53" s="1899">
        <f>'8E- 4%'!N65+'8E 9%'!N65</f>
        <v>5163.8535028125007</v>
      </c>
      <c r="O53" s="1899">
        <f>'8E- 4%'!O65+'8E 9%'!O65</f>
        <v>5344.5883754109382</v>
      </c>
      <c r="P53" s="1900">
        <f>'8E- 4%'!P65+'8E 9%'!P65</f>
        <v>5531.6489685503202</v>
      </c>
      <c r="Q53" s="516"/>
    </row>
    <row r="54" spans="2:17" ht="15.75" thickBot="1" x14ac:dyDescent="0.3">
      <c r="B54" s="517"/>
      <c r="C54" s="560" t="s">
        <v>247</v>
      </c>
      <c r="D54" s="561"/>
      <c r="E54" s="562"/>
      <c r="F54" s="1901">
        <v>3.5000000000000003E-2</v>
      </c>
      <c r="G54" s="1347"/>
      <c r="H54" s="554"/>
      <c r="I54" s="468">
        <f>IFERROR(J54/'1B - 4%'!$L$23,"")</f>
        <v>1158.9375</v>
      </c>
      <c r="J54" s="1902">
        <f>'8E- 4%'!J66+'8E 9%'!J66</f>
        <v>92715</v>
      </c>
      <c r="K54" s="1903">
        <f>'8E- 4%'!K66+'8E 9%'!K66</f>
        <v>95960.024999999994</v>
      </c>
      <c r="L54" s="1903">
        <f>'8E- 4%'!L66+'8E 9%'!L66</f>
        <v>99318.625874999998</v>
      </c>
      <c r="M54" s="1903">
        <f>'8E- 4%'!M66+'8E 9%'!M66</f>
        <v>102794.77778062501</v>
      </c>
      <c r="N54" s="1903">
        <f>'8E- 4%'!N66+'8E 9%'!N66</f>
        <v>106392.59500294688</v>
      </c>
      <c r="O54" s="1903">
        <f>'8E- 4%'!O66+'8E 9%'!O66</f>
        <v>110116.33582805001</v>
      </c>
      <c r="P54" s="1904">
        <f>'8E- 4%'!P66+'8E 9%'!P66</f>
        <v>113970.40758203177</v>
      </c>
      <c r="Q54" s="516"/>
    </row>
    <row r="55" spans="2:17" ht="15.75" thickBot="1" x14ac:dyDescent="0.3">
      <c r="B55" s="517"/>
      <c r="C55" s="475" t="s">
        <v>447</v>
      </c>
      <c r="D55" s="532"/>
      <c r="E55" s="515"/>
      <c r="F55" s="533"/>
      <c r="G55" s="533"/>
      <c r="H55" s="515"/>
      <c r="I55" s="468">
        <f>IFERROR(J55/'1B - 4%'!$L$23,"")</f>
        <v>8069.4979999999996</v>
      </c>
      <c r="J55" s="469">
        <f>SUM(J34:J54)</f>
        <v>645559.84</v>
      </c>
      <c r="K55" s="470">
        <f t="shared" ref="K55:P55" si="5">SUM(K34:K54)</f>
        <v>667635.37940000009</v>
      </c>
      <c r="L55" s="470">
        <f t="shared" si="5"/>
        <v>690476.92042899993</v>
      </c>
      <c r="M55" s="470">
        <f t="shared" si="5"/>
        <v>714111.36045276502</v>
      </c>
      <c r="N55" s="470">
        <f t="shared" si="5"/>
        <v>738566.55056218058</v>
      </c>
      <c r="O55" s="470">
        <f t="shared" si="5"/>
        <v>763871.32966694888</v>
      </c>
      <c r="P55" s="471">
        <f t="shared" si="5"/>
        <v>790055.55981661275</v>
      </c>
      <c r="Q55" s="516"/>
    </row>
    <row r="56" spans="2:17" ht="15.75" thickBot="1" x14ac:dyDescent="0.3">
      <c r="B56" s="517"/>
      <c r="C56" s="475"/>
      <c r="D56" s="532"/>
      <c r="E56" s="515"/>
      <c r="F56" s="541" t="s">
        <v>412</v>
      </c>
      <c r="G56" s="542"/>
      <c r="H56" s="518"/>
      <c r="I56" s="518"/>
      <c r="J56" s="472"/>
      <c r="K56" s="473"/>
      <c r="L56" s="473"/>
      <c r="M56" s="473"/>
      <c r="N56" s="473"/>
      <c r="O56" s="473"/>
      <c r="P56" s="474"/>
      <c r="Q56" s="516"/>
    </row>
    <row r="57" spans="2:17" x14ac:dyDescent="0.25">
      <c r="B57" s="550"/>
      <c r="C57" s="566" t="s">
        <v>448</v>
      </c>
      <c r="D57" s="567"/>
      <c r="E57" s="546"/>
      <c r="F57" s="1879">
        <v>3.5000000000000003E-2</v>
      </c>
      <c r="G57" s="1348"/>
      <c r="H57" s="546"/>
      <c r="I57" s="466">
        <f>IFERROR(J57/'1B - 4%'!$L$23,"")</f>
        <v>581.875</v>
      </c>
      <c r="J57" s="1905">
        <f>'8E- 4%'!J69+'8E 9%'!J69</f>
        <v>46550</v>
      </c>
      <c r="K57" s="1899">
        <f>'8E- 4%'!K69+'8E 9%'!K69</f>
        <v>48179.25</v>
      </c>
      <c r="L57" s="1899">
        <f>'8E- 4%'!L69+'8E 9%'!L69</f>
        <v>49865.52375</v>
      </c>
      <c r="M57" s="1899">
        <f>'8E- 4%'!M69+'8E 9%'!M69</f>
        <v>51610.817081250003</v>
      </c>
      <c r="N57" s="1899">
        <f>'8E- 4%'!N69+'8E 9%'!N69</f>
        <v>53417.195679093755</v>
      </c>
      <c r="O57" s="1899">
        <f>'8E- 4%'!O69+'8E 9%'!O69</f>
        <v>55286.797527862036</v>
      </c>
      <c r="P57" s="1900">
        <f>'8E- 4%'!P69+'8E 9%'!P69</f>
        <v>57221.835441337207</v>
      </c>
      <c r="Q57" s="516"/>
    </row>
    <row r="58" spans="2:17" ht="15.75" thickBot="1" x14ac:dyDescent="0.3">
      <c r="B58" s="550"/>
      <c r="C58" s="569" t="s">
        <v>449</v>
      </c>
      <c r="D58" s="561"/>
      <c r="E58" s="562"/>
      <c r="F58" s="1906">
        <v>3.5000000000000003E-2</v>
      </c>
      <c r="G58" s="1347"/>
      <c r="H58" s="554"/>
      <c r="I58" s="468">
        <f>IFERROR(J58/'1B - 4%'!$L$23,"")</f>
        <v>0</v>
      </c>
      <c r="J58" s="1907">
        <f>'8E- 4%'!J70+'8E 9%'!J70</f>
        <v>0</v>
      </c>
      <c r="K58" s="1903">
        <f>'8E- 4%'!K70+'8E 9%'!K70</f>
        <v>0</v>
      </c>
      <c r="L58" s="1903">
        <f>'8E- 4%'!L70+'8E 9%'!L70</f>
        <v>0</v>
      </c>
      <c r="M58" s="1903">
        <f>'8E- 4%'!M70+'8E 9%'!M70</f>
        <v>0</v>
      </c>
      <c r="N58" s="1903">
        <f>'8E- 4%'!N70+'8E 9%'!N70</f>
        <v>0</v>
      </c>
      <c r="O58" s="1903">
        <f>'8E- 4%'!O70+'8E 9%'!O70</f>
        <v>0</v>
      </c>
      <c r="P58" s="1904">
        <f>'8E- 4%'!P70+'8E 9%'!P70</f>
        <v>0</v>
      </c>
      <c r="Q58" s="516"/>
    </row>
    <row r="59" spans="2:17" x14ac:dyDescent="0.25">
      <c r="B59" s="550"/>
      <c r="C59" s="475" t="s">
        <v>450</v>
      </c>
      <c r="D59" s="532"/>
      <c r="E59" s="532"/>
      <c r="F59" s="532"/>
      <c r="G59" s="532"/>
      <c r="H59" s="515"/>
      <c r="I59" s="570">
        <f>IFERROR(J59/'1B - 4%'!$L$23,"")</f>
        <v>581.875</v>
      </c>
      <c r="J59" s="469">
        <f>SUM(J57:J58)</f>
        <v>46550</v>
      </c>
      <c r="K59" s="470">
        <f t="shared" ref="K59:P59" si="6">SUM(K57:K58)</f>
        <v>48179.25</v>
      </c>
      <c r="L59" s="470">
        <f t="shared" si="6"/>
        <v>49865.52375</v>
      </c>
      <c r="M59" s="470">
        <f t="shared" si="6"/>
        <v>51610.817081250003</v>
      </c>
      <c r="N59" s="470">
        <f t="shared" si="6"/>
        <v>53417.195679093755</v>
      </c>
      <c r="O59" s="470">
        <f t="shared" si="6"/>
        <v>55286.797527862036</v>
      </c>
      <c r="P59" s="471">
        <f t="shared" si="6"/>
        <v>57221.835441337207</v>
      </c>
      <c r="Q59" s="516"/>
    </row>
    <row r="60" spans="2:17" ht="7.5" customHeight="1" thickBot="1" x14ac:dyDescent="0.3">
      <c r="B60" s="550"/>
      <c r="C60" s="475"/>
      <c r="D60" s="532"/>
      <c r="E60" s="532"/>
      <c r="F60" s="532"/>
      <c r="G60" s="532"/>
      <c r="H60" s="515"/>
      <c r="I60" s="570"/>
      <c r="J60" s="472"/>
      <c r="K60" s="473"/>
      <c r="L60" s="473"/>
      <c r="M60" s="473"/>
      <c r="N60" s="473"/>
      <c r="O60" s="473"/>
      <c r="P60" s="474"/>
      <c r="Q60" s="516"/>
    </row>
    <row r="61" spans="2:17" ht="15.75" thickBot="1" x14ac:dyDescent="0.3">
      <c r="B61" s="517"/>
      <c r="C61" s="475" t="s">
        <v>451</v>
      </c>
      <c r="D61" s="532"/>
      <c r="E61" s="339"/>
      <c r="F61" s="1908">
        <v>3.5000000000000003E-2</v>
      </c>
      <c r="G61" s="1349"/>
      <c r="H61" s="546"/>
      <c r="I61" s="1378">
        <f>IFERROR(J61/'1B - 4%'!$L$23,"")</f>
        <v>2855.4129999999996</v>
      </c>
      <c r="J61" s="1909">
        <f>'8E- 4%'!J73+'8E 9%'!J73</f>
        <v>228433.03999999998</v>
      </c>
      <c r="K61" s="1910">
        <f>'8E- 4%'!K73+'8E 9%'!K73</f>
        <v>234143.86599999998</v>
      </c>
      <c r="L61" s="1910">
        <f>'8E- 4%'!L73+'8E 9%'!L73</f>
        <v>239997.46264999997</v>
      </c>
      <c r="M61" s="1910">
        <f>'8E- 4%'!M73+'8E 9%'!M73</f>
        <v>245997.39921624996</v>
      </c>
      <c r="N61" s="1910">
        <f>'8E- 4%'!N73+'8E 9%'!N73</f>
        <v>252147.33419665621</v>
      </c>
      <c r="O61" s="1910">
        <f>'8E- 4%'!O73+'8E 9%'!O73</f>
        <v>258451.01755157262</v>
      </c>
      <c r="P61" s="1911">
        <f>'8E- 4%'!P73+'8E 9%'!P73</f>
        <v>264912.29299036192</v>
      </c>
      <c r="Q61" s="516"/>
    </row>
    <row r="62" spans="2:17" ht="7.5" customHeight="1" thickBot="1" x14ac:dyDescent="0.3">
      <c r="B62" s="517"/>
      <c r="C62" s="475"/>
      <c r="D62" s="532"/>
      <c r="E62" s="339"/>
      <c r="F62" s="532"/>
      <c r="G62" s="532"/>
      <c r="H62" s="515"/>
      <c r="I62" s="570"/>
      <c r="J62" s="472"/>
      <c r="K62" s="473"/>
      <c r="L62" s="473"/>
      <c r="M62" s="473"/>
      <c r="N62" s="473"/>
      <c r="O62" s="473"/>
      <c r="P62" s="474"/>
      <c r="Q62" s="516"/>
    </row>
    <row r="63" spans="2:17" ht="15.75" thickBot="1" x14ac:dyDescent="0.3">
      <c r="B63" s="517"/>
      <c r="C63" s="573" t="s">
        <v>452</v>
      </c>
      <c r="D63" s="535"/>
      <c r="E63" s="535"/>
      <c r="F63" s="1912">
        <v>0</v>
      </c>
      <c r="G63" s="1350"/>
      <c r="H63" s="574"/>
      <c r="I63" s="535"/>
      <c r="J63" s="1913">
        <f>'8E- 4%'!J75+'8E 9%'!J75</f>
        <v>0</v>
      </c>
      <c r="K63" s="1914">
        <f>'8E- 4%'!K75+'8E 9%'!K75</f>
        <v>0</v>
      </c>
      <c r="L63" s="1914">
        <f>'8E- 4%'!L75+'8E 9%'!L75</f>
        <v>0</v>
      </c>
      <c r="M63" s="1914">
        <f>'8E- 4%'!M75+'8E 9%'!M75</f>
        <v>0</v>
      </c>
      <c r="N63" s="1914">
        <f>'8E- 4%'!N75+'8E 9%'!N75</f>
        <v>0</v>
      </c>
      <c r="O63" s="1914">
        <f>'8E- 4%'!O75+'8E 9%'!O75</f>
        <v>0</v>
      </c>
      <c r="P63" s="1915">
        <f>'8E- 4%'!P75+'8E 9%'!P75</f>
        <v>0</v>
      </c>
      <c r="Q63" s="516"/>
    </row>
    <row r="64" spans="2:17" ht="16.5" thickTop="1" thickBot="1" x14ac:dyDescent="0.3">
      <c r="B64" s="517"/>
      <c r="C64" s="540" t="s">
        <v>453</v>
      </c>
      <c r="D64" s="532"/>
      <c r="E64" s="515"/>
      <c r="F64" s="532"/>
      <c r="G64" s="532"/>
      <c r="H64" s="575"/>
      <c r="I64" s="533" t="s">
        <v>416</v>
      </c>
      <c r="J64" s="476">
        <f>J55+J59+J61+J63</f>
        <v>920542.87999999989</v>
      </c>
      <c r="K64" s="477">
        <f t="shared" ref="K64:P64" si="7">K55+K59+K61+K63</f>
        <v>949958.49540000013</v>
      </c>
      <c r="L64" s="477">
        <f t="shared" si="7"/>
        <v>980339.90682899999</v>
      </c>
      <c r="M64" s="477">
        <f t="shared" si="7"/>
        <v>1011719.576750265</v>
      </c>
      <c r="N64" s="477">
        <f t="shared" si="7"/>
        <v>1044131.0804379305</v>
      </c>
      <c r="O64" s="477">
        <f t="shared" si="7"/>
        <v>1077609.1447463834</v>
      </c>
      <c r="P64" s="478">
        <f t="shared" si="7"/>
        <v>1112189.6882483119</v>
      </c>
      <c r="Q64" s="516"/>
    </row>
    <row r="65" spans="2:17" ht="7.5" customHeight="1" thickBot="1" x14ac:dyDescent="0.3">
      <c r="B65" s="517"/>
      <c r="C65" s="532"/>
      <c r="D65" s="532"/>
      <c r="E65" s="532"/>
      <c r="F65" s="532"/>
      <c r="G65" s="532"/>
      <c r="H65" s="532"/>
      <c r="I65" s="532"/>
      <c r="J65" s="576"/>
      <c r="K65" s="576"/>
      <c r="L65" s="576"/>
      <c r="M65" s="576"/>
      <c r="N65" s="576"/>
      <c r="O65" s="576"/>
      <c r="P65" s="576"/>
      <c r="Q65" s="516"/>
    </row>
    <row r="66" spans="2:17" ht="15.75" thickBot="1" x14ac:dyDescent="0.3">
      <c r="B66" s="517"/>
      <c r="C66" s="540" t="s">
        <v>454</v>
      </c>
      <c r="D66" s="532"/>
      <c r="E66" s="532"/>
      <c r="F66" s="532"/>
      <c r="G66" s="532"/>
      <c r="H66" s="532"/>
      <c r="I66" s="533" t="s">
        <v>416</v>
      </c>
      <c r="J66" s="479">
        <f>J30-J64</f>
        <v>648927.42000000016</v>
      </c>
      <c r="K66" s="480">
        <f t="shared" ref="K66:P66" si="8">K30-K64</f>
        <v>658748.56209999975</v>
      </c>
      <c r="L66" s="480">
        <f t="shared" si="8"/>
        <v>668584.82710849983</v>
      </c>
      <c r="M66" s="480">
        <f t="shared" si="8"/>
        <v>678428.2755356722</v>
      </c>
      <c r="N66" s="480">
        <f t="shared" si="8"/>
        <v>688270.46815515566</v>
      </c>
      <c r="O66" s="480">
        <f t="shared" si="8"/>
        <v>698102.44256152958</v>
      </c>
      <c r="P66" s="481">
        <f t="shared" si="8"/>
        <v>707914.6887422991</v>
      </c>
      <c r="Q66" s="516"/>
    </row>
    <row r="67" spans="2:17" x14ac:dyDescent="0.25">
      <c r="B67" s="517"/>
      <c r="C67" s="540"/>
      <c r="D67" s="532"/>
      <c r="E67" s="532"/>
      <c r="F67" s="532"/>
      <c r="G67" s="532"/>
      <c r="H67" s="532"/>
      <c r="I67" s="533"/>
      <c r="J67" s="570"/>
      <c r="K67" s="570"/>
      <c r="L67" s="570"/>
      <c r="M67" s="570"/>
      <c r="N67" s="570"/>
      <c r="O67" s="570"/>
      <c r="P67" s="570"/>
      <c r="Q67" s="516"/>
    </row>
    <row r="68" spans="2:17" ht="15.75" thickBot="1" x14ac:dyDescent="0.3">
      <c r="B68" s="394"/>
      <c r="C68" s="2473" t="s">
        <v>455</v>
      </c>
      <c r="D68" s="2473"/>
      <c r="E68" s="2473"/>
      <c r="F68" s="482"/>
      <c r="G68" s="482"/>
      <c r="H68" s="482"/>
      <c r="I68" s="482"/>
      <c r="J68" s="482"/>
      <c r="K68" s="482"/>
      <c r="L68" s="482"/>
      <c r="M68" s="1351"/>
      <c r="N68" s="1351"/>
      <c r="O68" s="1351"/>
      <c r="P68" s="1351"/>
      <c r="Q68" s="944"/>
    </row>
    <row r="69" spans="2:17" ht="15.75" thickBot="1" x14ac:dyDescent="0.3">
      <c r="B69" s="394"/>
      <c r="C69" s="699" t="s">
        <v>1405</v>
      </c>
      <c r="D69" s="942"/>
      <c r="E69" s="1208"/>
      <c r="F69" s="1208"/>
      <c r="G69" s="1208"/>
      <c r="H69" s="2474" t="s">
        <v>457</v>
      </c>
      <c r="I69" s="2475"/>
      <c r="J69" s="446" t="s">
        <v>404</v>
      </c>
      <c r="K69" s="447" t="s">
        <v>405</v>
      </c>
      <c r="L69" s="447" t="s">
        <v>406</v>
      </c>
      <c r="M69" s="447" t="s">
        <v>407</v>
      </c>
      <c r="N69" s="447" t="s">
        <v>408</v>
      </c>
      <c r="O69" s="447" t="s">
        <v>409</v>
      </c>
      <c r="P69" s="448" t="s">
        <v>410</v>
      </c>
      <c r="Q69" s="944"/>
    </row>
    <row r="70" spans="2:17" x14ac:dyDescent="0.25">
      <c r="B70" s="394"/>
      <c r="C70" s="2476" t="str">
        <f>'8E- 4%'!C82:G82</f>
        <v>Lender 1 - 4% Bonds</v>
      </c>
      <c r="D70" s="2477"/>
      <c r="E70" s="2477"/>
      <c r="F70" s="2477"/>
      <c r="G70" s="2478"/>
      <c r="H70" s="2479">
        <f>'8E- 4%'!H82:I82</f>
        <v>7583566</v>
      </c>
      <c r="I70" s="2480"/>
      <c r="J70" s="1916">
        <f>'8E- 4%'!J82+'8E 9%'!J82</f>
        <v>527285</v>
      </c>
      <c r="K70" s="1917">
        <f>'8E- 4%'!K82+'8E 9%'!K82</f>
        <v>527285</v>
      </c>
      <c r="L70" s="1917">
        <f>'8E- 4%'!L82+'8E 9%'!L82</f>
        <v>527285</v>
      </c>
      <c r="M70" s="1917">
        <f>'8E- 4%'!M82+'8E 9%'!M82</f>
        <v>527285</v>
      </c>
      <c r="N70" s="1917">
        <f>'8E- 4%'!N82+'8E 9%'!N82</f>
        <v>527285</v>
      </c>
      <c r="O70" s="1917">
        <f>'8E- 4%'!O82+'8E 9%'!O82</f>
        <v>527285</v>
      </c>
      <c r="P70" s="1918">
        <f>'8E- 4%'!P82+'8E 9%'!P82</f>
        <v>527285</v>
      </c>
      <c r="Q70" s="944"/>
    </row>
    <row r="71" spans="2:17" x14ac:dyDescent="0.25">
      <c r="B71" s="394"/>
      <c r="C71" s="2481">
        <f>'8E- 4%'!C83:G83</f>
        <v>0</v>
      </c>
      <c r="D71" s="2482"/>
      <c r="E71" s="2482"/>
      <c r="F71" s="2482"/>
      <c r="G71" s="2483"/>
      <c r="H71" s="2484">
        <f>'8E- 4%'!H83:I83</f>
        <v>0</v>
      </c>
      <c r="I71" s="2485"/>
      <c r="J71" s="1919">
        <f>'8E- 4%'!J83+'8E 9%'!J83</f>
        <v>0</v>
      </c>
      <c r="K71" s="1920">
        <f>'8E- 4%'!K83+'8E 9%'!K83</f>
        <v>0</v>
      </c>
      <c r="L71" s="1920">
        <f>'8E- 4%'!L83+'8E 9%'!L83</f>
        <v>0</v>
      </c>
      <c r="M71" s="1920">
        <f>'8E- 4%'!M83+'8E 9%'!M83</f>
        <v>0</v>
      </c>
      <c r="N71" s="1920">
        <f>'8E- 4%'!N83+'8E 9%'!N83</f>
        <v>0</v>
      </c>
      <c r="O71" s="1920">
        <f>'8E- 4%'!O83+'8E 9%'!O83</f>
        <v>0</v>
      </c>
      <c r="P71" s="1921">
        <f>'8E- 4%'!P83+'8E 9%'!P83</f>
        <v>0</v>
      </c>
      <c r="Q71" s="944"/>
    </row>
    <row r="72" spans="2:17" ht="15.75" thickBot="1" x14ac:dyDescent="0.3">
      <c r="B72" s="394"/>
      <c r="C72" s="2486" t="s">
        <v>460</v>
      </c>
      <c r="D72" s="2487"/>
      <c r="E72" s="2487"/>
      <c r="F72" s="2487"/>
      <c r="G72" s="2488"/>
      <c r="H72" s="2489">
        <f>'8E- 4%'!H84:I84</f>
        <v>0</v>
      </c>
      <c r="I72" s="2490"/>
      <c r="J72" s="1922">
        <f>'8E- 4%'!J84+'8E 9%'!J84</f>
        <v>0</v>
      </c>
      <c r="K72" s="1923">
        <f>'8E- 4%'!K84+'8E 9%'!K84</f>
        <v>0</v>
      </c>
      <c r="L72" s="1923">
        <f>'8E- 4%'!L84+'8E 9%'!L84</f>
        <v>0</v>
      </c>
      <c r="M72" s="1923">
        <f>'8E- 4%'!M84+'8E 9%'!M84</f>
        <v>0</v>
      </c>
      <c r="N72" s="1923">
        <f>'8E- 4%'!N84+'8E 9%'!N84</f>
        <v>0</v>
      </c>
      <c r="O72" s="1923">
        <f>'8E- 4%'!O84+'8E 9%'!O84</f>
        <v>0</v>
      </c>
      <c r="P72" s="1924">
        <f>'8E- 4%'!P84+'8E 9%'!P84</f>
        <v>0</v>
      </c>
      <c r="Q72" s="944"/>
    </row>
    <row r="73" spans="2:17" ht="3.75" customHeight="1" x14ac:dyDescent="0.25">
      <c r="B73" s="394"/>
      <c r="C73" s="1352"/>
      <c r="D73" s="1352"/>
      <c r="E73" s="1352"/>
      <c r="F73" s="1352"/>
      <c r="G73" s="1352"/>
      <c r="H73" s="1353"/>
      <c r="I73" s="1353"/>
      <c r="J73" s="1964"/>
      <c r="K73" s="1964"/>
      <c r="L73" s="1964"/>
      <c r="M73" s="1964"/>
      <c r="N73" s="1964"/>
      <c r="O73" s="1964"/>
      <c r="P73" s="1964"/>
      <c r="Q73" s="944"/>
    </row>
    <row r="74" spans="2:17" ht="15.75" thickBot="1" x14ac:dyDescent="0.3">
      <c r="B74" s="394"/>
      <c r="C74" s="699" t="s">
        <v>1406</v>
      </c>
      <c r="D74" s="1352"/>
      <c r="E74" s="1352"/>
      <c r="F74" s="1352"/>
      <c r="G74" s="1352"/>
      <c r="H74" s="1353"/>
      <c r="I74" s="1353"/>
      <c r="J74" s="1965"/>
      <c r="K74" s="1965"/>
      <c r="L74" s="1965"/>
      <c r="M74" s="1965"/>
      <c r="N74" s="1965"/>
      <c r="O74" s="1965"/>
      <c r="P74" s="1965"/>
      <c r="Q74" s="944"/>
    </row>
    <row r="75" spans="2:17" x14ac:dyDescent="0.25">
      <c r="B75" s="394"/>
      <c r="C75" s="2476" t="str">
        <f>'8E 9%'!C82:G82</f>
        <v>Lender 1 - Permanent Loan</v>
      </c>
      <c r="D75" s="2477"/>
      <c r="E75" s="2477"/>
      <c r="F75" s="2477"/>
      <c r="G75" s="2478"/>
      <c r="H75" s="2479">
        <f>'8E 9%'!H82:I82</f>
        <v>1088276</v>
      </c>
      <c r="I75" s="2480"/>
      <c r="J75" s="1916">
        <f>'8E 9%'!J82</f>
        <v>68005</v>
      </c>
      <c r="K75" s="1917">
        <f>'8E 9%'!K82</f>
        <v>68005</v>
      </c>
      <c r="L75" s="1917">
        <f>'8E 9%'!L82</f>
        <v>68005</v>
      </c>
      <c r="M75" s="1917">
        <f>'8E 9%'!M82</f>
        <v>68005</v>
      </c>
      <c r="N75" s="1917">
        <f>'8E 9%'!N82</f>
        <v>68005</v>
      </c>
      <c r="O75" s="1917">
        <f>'8E 9%'!O82</f>
        <v>68005</v>
      </c>
      <c r="P75" s="1918">
        <f>'8E 9%'!P82</f>
        <v>68005</v>
      </c>
      <c r="Q75" s="944"/>
    </row>
    <row r="76" spans="2:17" x14ac:dyDescent="0.25">
      <c r="B76" s="394"/>
      <c r="C76" s="2481">
        <f>'8E 9%'!C83:G83</f>
        <v>0</v>
      </c>
      <c r="D76" s="2482"/>
      <c r="E76" s="2482"/>
      <c r="F76" s="2482"/>
      <c r="G76" s="2483"/>
      <c r="H76" s="2484">
        <f>'8E 9%'!H83:I83</f>
        <v>0</v>
      </c>
      <c r="I76" s="2485"/>
      <c r="J76" s="1919">
        <f>'8E 9%'!J83</f>
        <v>0</v>
      </c>
      <c r="K76" s="1920">
        <f>'8E 9%'!K83</f>
        <v>0</v>
      </c>
      <c r="L76" s="1920">
        <f>'8E 9%'!L83</f>
        <v>0</v>
      </c>
      <c r="M76" s="1920">
        <f>'8E 9%'!M83</f>
        <v>0</v>
      </c>
      <c r="N76" s="1920">
        <f>'8E 9%'!N83</f>
        <v>0</v>
      </c>
      <c r="O76" s="1920">
        <f>'8E 9%'!O83</f>
        <v>0</v>
      </c>
      <c r="P76" s="1921">
        <f>'8E 9%'!P83</f>
        <v>0</v>
      </c>
      <c r="Q76" s="944"/>
    </row>
    <row r="77" spans="2:17" ht="15.75" thickBot="1" x14ac:dyDescent="0.3">
      <c r="B77" s="394"/>
      <c r="C77" s="2486" t="s">
        <v>460</v>
      </c>
      <c r="D77" s="2487"/>
      <c r="E77" s="2487"/>
      <c r="F77" s="2487"/>
      <c r="G77" s="2488"/>
      <c r="H77" s="2489">
        <f>'8E 9%'!H84:I84</f>
        <v>0</v>
      </c>
      <c r="I77" s="2490"/>
      <c r="J77" s="1922">
        <f>'8E 9%'!J84</f>
        <v>0</v>
      </c>
      <c r="K77" s="1923">
        <f>'8E 9%'!K84</f>
        <v>0</v>
      </c>
      <c r="L77" s="1923">
        <f>'8E 9%'!L84</f>
        <v>0</v>
      </c>
      <c r="M77" s="1923">
        <f>'8E 9%'!M84</f>
        <v>0</v>
      </c>
      <c r="N77" s="1923">
        <f>'8E 9%'!N84</f>
        <v>0</v>
      </c>
      <c r="O77" s="1923">
        <f>'8E 9%'!O84</f>
        <v>0</v>
      </c>
      <c r="P77" s="1924">
        <f>'8E 9%'!P84</f>
        <v>0</v>
      </c>
      <c r="Q77" s="944"/>
    </row>
    <row r="78" spans="2:17" ht="15.75" thickTop="1" x14ac:dyDescent="0.25">
      <c r="B78" s="394"/>
      <c r="C78" s="1352"/>
      <c r="D78" s="1352"/>
      <c r="E78" s="1352"/>
      <c r="F78" s="1352"/>
      <c r="G78" s="1352"/>
      <c r="H78" s="1353"/>
      <c r="I78" s="1354" t="s">
        <v>461</v>
      </c>
      <c r="J78" s="483">
        <f t="shared" ref="J78:P78" si="9">SUM(J70:J72)</f>
        <v>527285</v>
      </c>
      <c r="K78" s="484">
        <f t="shared" si="9"/>
        <v>527285</v>
      </c>
      <c r="L78" s="484">
        <f t="shared" si="9"/>
        <v>527285</v>
      </c>
      <c r="M78" s="484">
        <f t="shared" si="9"/>
        <v>527285</v>
      </c>
      <c r="N78" s="484">
        <f t="shared" si="9"/>
        <v>527285</v>
      </c>
      <c r="O78" s="484">
        <f t="shared" si="9"/>
        <v>527285</v>
      </c>
      <c r="P78" s="485">
        <f t="shared" si="9"/>
        <v>527285</v>
      </c>
      <c r="Q78" s="944"/>
    </row>
    <row r="79" spans="2:17" x14ac:dyDescent="0.25">
      <c r="B79" s="394"/>
      <c r="C79" s="1352"/>
      <c r="D79" s="1352"/>
      <c r="E79" s="1352"/>
      <c r="F79" s="1208"/>
      <c r="G79" s="1208"/>
      <c r="H79" s="1825"/>
      <c r="I79" s="1825" t="s">
        <v>462</v>
      </c>
      <c r="J79" s="2071">
        <f t="shared" ref="J79:P79" si="10">IFERROR(J66/J78,"$0 ")</f>
        <v>1.2306957717363478</v>
      </c>
      <c r="K79" s="2072">
        <f t="shared" si="10"/>
        <v>1.2493216421859141</v>
      </c>
      <c r="L79" s="2072">
        <f t="shared" si="10"/>
        <v>1.2679761933461029</v>
      </c>
      <c r="M79" s="2072">
        <f t="shared" si="10"/>
        <v>1.2866443679142632</v>
      </c>
      <c r="N79" s="2072">
        <f t="shared" si="10"/>
        <v>1.3053101608336206</v>
      </c>
      <c r="O79" s="2072">
        <f t="shared" si="10"/>
        <v>1.3239565748343487</v>
      </c>
      <c r="P79" s="2076">
        <f t="shared" si="10"/>
        <v>1.3425655741056528</v>
      </c>
      <c r="Q79" s="944"/>
    </row>
    <row r="80" spans="2:17" ht="15.75" thickBot="1" x14ac:dyDescent="0.3">
      <c r="B80" s="394"/>
      <c r="C80" s="1352"/>
      <c r="D80" s="1352"/>
      <c r="E80" s="1352"/>
      <c r="F80" s="2491" t="s">
        <v>463</v>
      </c>
      <c r="G80" s="2491"/>
      <c r="H80" s="2491"/>
      <c r="I80" s="2492"/>
      <c r="J80" s="486">
        <f t="shared" ref="J80:P80" si="11">J66-J78</f>
        <v>121642.42000000016</v>
      </c>
      <c r="K80" s="487">
        <f t="shared" si="11"/>
        <v>131463.56209999975</v>
      </c>
      <c r="L80" s="487">
        <f t="shared" si="11"/>
        <v>141299.82710849983</v>
      </c>
      <c r="M80" s="487">
        <f t="shared" si="11"/>
        <v>151143.2755356722</v>
      </c>
      <c r="N80" s="487">
        <f t="shared" si="11"/>
        <v>160985.46815515566</v>
      </c>
      <c r="O80" s="487">
        <f t="shared" si="11"/>
        <v>170817.44256152958</v>
      </c>
      <c r="P80" s="488">
        <f t="shared" si="11"/>
        <v>180629.6887422991</v>
      </c>
      <c r="Q80" s="944"/>
    </row>
    <row r="81" spans="2:17" ht="15" customHeight="1" thickBot="1" x14ac:dyDescent="0.3">
      <c r="B81" s="394"/>
      <c r="C81" s="1352"/>
      <c r="D81" s="1352"/>
      <c r="E81" s="1352"/>
      <c r="F81" s="1352"/>
      <c r="G81" s="1352"/>
      <c r="H81" s="1353"/>
      <c r="I81" s="1353"/>
      <c r="J81" s="1355"/>
      <c r="K81" s="1355"/>
      <c r="L81" s="1355"/>
      <c r="M81" s="1355"/>
      <c r="N81" s="1355"/>
      <c r="O81" s="1355"/>
      <c r="P81" s="1355"/>
      <c r="Q81" s="944"/>
    </row>
    <row r="82" spans="2:17" ht="15.75" thickBot="1" x14ac:dyDescent="0.3">
      <c r="B82" s="394"/>
      <c r="C82" s="699" t="s">
        <v>464</v>
      </c>
      <c r="D82" s="942"/>
      <c r="E82" s="1208"/>
      <c r="F82" s="1208"/>
      <c r="G82" s="1208"/>
      <c r="H82" s="2474" t="s">
        <v>457</v>
      </c>
      <c r="I82" s="2475"/>
      <c r="J82" s="446" t="s">
        <v>404</v>
      </c>
      <c r="K82" s="447" t="s">
        <v>405</v>
      </c>
      <c r="L82" s="447" t="s">
        <v>406</v>
      </c>
      <c r="M82" s="447" t="s">
        <v>407</v>
      </c>
      <c r="N82" s="447" t="s">
        <v>408</v>
      </c>
      <c r="O82" s="447" t="s">
        <v>409</v>
      </c>
      <c r="P82" s="448" t="s">
        <v>410</v>
      </c>
      <c r="Q82" s="944"/>
    </row>
    <row r="83" spans="2:17" ht="16.5" thickTop="1" thickBot="1" x14ac:dyDescent="0.3">
      <c r="B83" s="394"/>
      <c r="C83" s="1208"/>
      <c r="D83" s="1208"/>
      <c r="E83" s="1208"/>
      <c r="F83" s="2491" t="s">
        <v>465</v>
      </c>
      <c r="G83" s="2491"/>
      <c r="H83" s="2491"/>
      <c r="I83" s="2492"/>
      <c r="J83" s="489">
        <f>'8E- 4%'!J94+'8E 9%'!J94</f>
        <v>15000</v>
      </c>
      <c r="K83" s="490">
        <f>'8E- 4%'!K94+'8E 9%'!K94</f>
        <v>15524.999999999998</v>
      </c>
      <c r="L83" s="490">
        <f>'8E- 4%'!L94+'8E 9%'!L94</f>
        <v>16068.374999999996</v>
      </c>
      <c r="M83" s="490">
        <f>'8E- 4%'!M94+'8E 9%'!M94</f>
        <v>16630.768124999995</v>
      </c>
      <c r="N83" s="490">
        <f>'8E- 4%'!N94+'8E 9%'!N94</f>
        <v>17212.845009374993</v>
      </c>
      <c r="O83" s="490">
        <f>'8E- 4%'!O94+'8E 9%'!O94</f>
        <v>17815.294584703115</v>
      </c>
      <c r="P83" s="491">
        <f>'8E- 4%'!P94+'8E 9%'!P94</f>
        <v>18438.829895167724</v>
      </c>
      <c r="Q83" s="944"/>
    </row>
    <row r="84" spans="2:17" ht="7.5" customHeight="1" thickBot="1" x14ac:dyDescent="0.3">
      <c r="B84" s="394"/>
      <c r="C84" s="1208"/>
      <c r="D84" s="1208"/>
      <c r="E84" s="1208"/>
      <c r="F84" s="1208"/>
      <c r="G84" s="1208"/>
      <c r="H84" s="1208"/>
      <c r="I84" s="1208"/>
      <c r="J84" s="1208"/>
      <c r="K84" s="1208"/>
      <c r="L84" s="1208"/>
      <c r="M84" s="1208"/>
      <c r="N84" s="1208"/>
      <c r="O84" s="1208"/>
      <c r="P84" s="1208"/>
      <c r="Q84" s="944"/>
    </row>
    <row r="85" spans="2:17" x14ac:dyDescent="0.25">
      <c r="B85" s="394"/>
      <c r="C85" s="1208"/>
      <c r="D85" s="1208"/>
      <c r="E85" s="1208"/>
      <c r="F85" s="2491" t="s">
        <v>466</v>
      </c>
      <c r="G85" s="2491"/>
      <c r="H85" s="2491"/>
      <c r="I85" s="2492"/>
      <c r="J85" s="2073">
        <f t="shared" ref="J85:P85" si="12">IFERROR(J66/(J78+J83),"$0 ")</f>
        <v>1.1966538259402346</v>
      </c>
      <c r="K85" s="2074">
        <f t="shared" si="12"/>
        <v>1.2135895840165063</v>
      </c>
      <c r="L85" s="2074">
        <f t="shared" si="12"/>
        <v>1.230478833610815</v>
      </c>
      <c r="M85" s="2074">
        <f t="shared" si="12"/>
        <v>1.2473039306699403</v>
      </c>
      <c r="N85" s="2074">
        <f t="shared" si="12"/>
        <v>1.2640462665987322</v>
      </c>
      <c r="O85" s="2074">
        <f t="shared" si="12"/>
        <v>1.2806862324178241</v>
      </c>
      <c r="P85" s="2075">
        <f t="shared" si="12"/>
        <v>1.2972031821998462</v>
      </c>
      <c r="Q85" s="944"/>
    </row>
    <row r="86" spans="2:17" ht="15.75" thickBot="1" x14ac:dyDescent="0.3">
      <c r="B86" s="394"/>
      <c r="C86" s="1208"/>
      <c r="D86" s="1208"/>
      <c r="E86" s="1208"/>
      <c r="F86" s="2491" t="s">
        <v>467</v>
      </c>
      <c r="G86" s="2491"/>
      <c r="H86" s="2493"/>
      <c r="I86" s="2494"/>
      <c r="J86" s="1356">
        <f t="shared" ref="J86:P86" si="13">J80-J83</f>
        <v>106642.42000000016</v>
      </c>
      <c r="K86" s="1357">
        <f t="shared" si="13"/>
        <v>115938.56209999975</v>
      </c>
      <c r="L86" s="1358">
        <f t="shared" si="13"/>
        <v>125231.45210849983</v>
      </c>
      <c r="M86" s="1358">
        <f t="shared" si="13"/>
        <v>134512.5074106722</v>
      </c>
      <c r="N86" s="1358">
        <f t="shared" si="13"/>
        <v>143772.62314578067</v>
      </c>
      <c r="O86" s="1358">
        <f t="shared" si="13"/>
        <v>153002.14797682647</v>
      </c>
      <c r="P86" s="1359">
        <f t="shared" si="13"/>
        <v>162190.85884713137</v>
      </c>
      <c r="Q86" s="944"/>
    </row>
    <row r="87" spans="2:17" ht="9" customHeight="1" thickBot="1" x14ac:dyDescent="0.3">
      <c r="B87" s="1307"/>
      <c r="C87" s="360"/>
      <c r="D87" s="577"/>
      <c r="E87" s="360"/>
      <c r="F87" s="360"/>
      <c r="G87" s="360"/>
      <c r="H87" s="360"/>
      <c r="I87" s="360"/>
      <c r="J87" s="360"/>
      <c r="K87" s="360"/>
      <c r="L87" s="360"/>
      <c r="M87" s="360"/>
      <c r="N87" s="360"/>
      <c r="O87" s="360"/>
      <c r="P87" s="360"/>
      <c r="Q87" s="361"/>
    </row>
    <row r="88" spans="2:17" ht="9" customHeight="1" x14ac:dyDescent="0.25">
      <c r="B88" s="511"/>
      <c r="C88" s="512"/>
      <c r="D88" s="512"/>
      <c r="E88" s="512"/>
      <c r="F88" s="512"/>
      <c r="G88" s="512"/>
      <c r="H88" s="512"/>
      <c r="I88" s="512"/>
      <c r="J88" s="512"/>
      <c r="K88" s="512"/>
      <c r="L88" s="512"/>
      <c r="M88" s="512"/>
      <c r="N88" s="512"/>
      <c r="O88" s="512"/>
      <c r="P88" s="512"/>
      <c r="Q88" s="513"/>
    </row>
    <row r="89" spans="2:17" ht="18.75" x14ac:dyDescent="0.3">
      <c r="B89" s="514"/>
      <c r="C89" s="2225" t="s">
        <v>1068</v>
      </c>
      <c r="D89" s="2225"/>
      <c r="E89" s="2225"/>
      <c r="F89" s="2225"/>
      <c r="G89" s="2225"/>
      <c r="H89" s="2225"/>
      <c r="I89" s="2225"/>
      <c r="J89" s="2225"/>
      <c r="K89" s="2225"/>
      <c r="L89" s="2225"/>
      <c r="M89" s="2225"/>
      <c r="N89" s="2225"/>
      <c r="O89" s="2225"/>
      <c r="P89" s="2225"/>
      <c r="Q89" s="516"/>
    </row>
    <row r="90" spans="2:17" x14ac:dyDescent="0.25">
      <c r="B90" s="514"/>
      <c r="C90" s="515"/>
      <c r="D90" s="515"/>
      <c r="E90" s="515"/>
      <c r="F90" s="515"/>
      <c r="G90" s="515"/>
      <c r="H90" s="515"/>
      <c r="I90" s="515"/>
      <c r="J90" s="515"/>
      <c r="K90" s="515"/>
      <c r="L90" s="515"/>
      <c r="M90" s="515"/>
      <c r="N90" s="515"/>
      <c r="O90" s="515"/>
      <c r="P90" s="515"/>
      <c r="Q90" s="516"/>
    </row>
    <row r="91" spans="2:17" x14ac:dyDescent="0.25">
      <c r="B91" s="514"/>
      <c r="C91" s="1123" t="s">
        <v>59</v>
      </c>
      <c r="D91" s="1822" t="str">
        <f>IF('1A'!G101="","Enter Project Name on Form 1A",'1A'!G101)</f>
        <v>Enter Project Name on Form 1A</v>
      </c>
      <c r="E91" s="1822"/>
      <c r="F91" s="1822"/>
      <c r="G91" s="1822"/>
      <c r="H91" s="1822"/>
      <c r="I91" s="1822"/>
      <c r="J91" s="1822"/>
      <c r="K91" s="1208"/>
      <c r="L91" s="1208"/>
      <c r="M91" s="1208"/>
      <c r="N91" s="1123"/>
      <c r="O91" s="1123"/>
      <c r="P91" s="1123"/>
      <c r="Q91" s="516"/>
    </row>
    <row r="92" spans="2:17" ht="3.75" customHeight="1" x14ac:dyDescent="0.25">
      <c r="B92" s="514"/>
      <c r="C92" s="1123"/>
      <c r="D92" s="1123"/>
      <c r="E92" s="1123"/>
      <c r="F92" s="1123"/>
      <c r="G92" s="1123"/>
      <c r="H92" s="1123"/>
      <c r="I92" s="1123"/>
      <c r="J92" s="1208"/>
      <c r="K92" s="1208"/>
      <c r="L92" s="1208"/>
      <c r="M92" s="1208"/>
      <c r="N92" s="1123"/>
      <c r="O92" s="1123"/>
      <c r="P92" s="1123"/>
      <c r="Q92" s="516"/>
    </row>
    <row r="93" spans="2:17" x14ac:dyDescent="0.25">
      <c r="B93" s="517"/>
      <c r="C93" s="1123" t="s">
        <v>402</v>
      </c>
      <c r="D93" s="1371">
        <f>IF(N11=0,"",N11)</f>
        <v>42262</v>
      </c>
      <c r="E93" s="518"/>
      <c r="F93" s="518"/>
      <c r="G93" s="518"/>
      <c r="H93" s="518"/>
      <c r="I93" s="518"/>
      <c r="J93" s="519"/>
      <c r="K93" s="519"/>
      <c r="L93" s="519"/>
      <c r="M93" s="519"/>
      <c r="N93" s="519"/>
      <c r="O93" s="520"/>
      <c r="P93" s="519"/>
      <c r="Q93" s="521"/>
    </row>
    <row r="94" spans="2:17" ht="7.5" customHeight="1" x14ac:dyDescent="0.25">
      <c r="B94" s="394"/>
      <c r="C94" s="942"/>
      <c r="D94" s="942"/>
      <c r="E94" s="942"/>
      <c r="F94" s="942"/>
      <c r="G94" s="942"/>
      <c r="H94" s="942"/>
      <c r="I94" s="942"/>
      <c r="J94" s="942"/>
      <c r="K94" s="942"/>
      <c r="L94" s="942"/>
      <c r="M94" s="942"/>
      <c r="N94" s="942"/>
      <c r="O94" s="942"/>
      <c r="P94" s="942"/>
      <c r="Q94" s="944"/>
    </row>
    <row r="95" spans="2:17" ht="15.75" thickBot="1" x14ac:dyDescent="0.3">
      <c r="B95" s="523"/>
      <c r="C95" s="442" t="s">
        <v>403</v>
      </c>
      <c r="D95" s="443"/>
      <c r="E95" s="441"/>
      <c r="F95" s="441"/>
      <c r="G95" s="441"/>
      <c r="H95" s="441"/>
      <c r="I95" s="441"/>
      <c r="J95" s="443"/>
      <c r="K95" s="443"/>
      <c r="L95" s="443"/>
      <c r="M95" s="443"/>
      <c r="N95" s="443"/>
      <c r="O95" s="445"/>
      <c r="P95" s="443"/>
      <c r="Q95" s="525"/>
    </row>
    <row r="96" spans="2:17" ht="15.75" thickBot="1" x14ac:dyDescent="0.3">
      <c r="B96" s="394"/>
      <c r="C96" s="532"/>
      <c r="D96" s="1208"/>
      <c r="E96" s="1208"/>
      <c r="F96" s="1208"/>
      <c r="G96" s="1208"/>
      <c r="H96" s="1208"/>
      <c r="I96" s="492" t="s">
        <v>468</v>
      </c>
      <c r="J96" s="493" t="s">
        <v>469</v>
      </c>
      <c r="K96" s="447" t="s">
        <v>470</v>
      </c>
      <c r="L96" s="447" t="s">
        <v>471</v>
      </c>
      <c r="M96" s="447" t="s">
        <v>472</v>
      </c>
      <c r="N96" s="447" t="s">
        <v>473</v>
      </c>
      <c r="O96" s="447" t="s">
        <v>474</v>
      </c>
      <c r="P96" s="448" t="s">
        <v>475</v>
      </c>
      <c r="Q96" s="944"/>
    </row>
    <row r="97" spans="2:17" x14ac:dyDescent="0.25">
      <c r="B97" s="394"/>
      <c r="C97" s="524" t="s">
        <v>411</v>
      </c>
      <c r="D97" s="1208"/>
      <c r="E97" s="1208"/>
      <c r="F97" s="1208"/>
      <c r="G97" s="1208"/>
      <c r="H97" s="1208"/>
      <c r="I97" s="450"/>
      <c r="J97" s="451"/>
      <c r="K97" s="451"/>
      <c r="L97" s="451"/>
      <c r="M97" s="451"/>
      <c r="N97" s="451"/>
      <c r="O97" s="451"/>
      <c r="P97" s="452"/>
      <c r="Q97" s="944"/>
    </row>
    <row r="98" spans="2:17" x14ac:dyDescent="0.25">
      <c r="B98" s="394"/>
      <c r="C98" s="578" t="s">
        <v>413</v>
      </c>
      <c r="D98" s="1208"/>
      <c r="E98" s="1208"/>
      <c r="F98" s="1208"/>
      <c r="G98" s="1208"/>
      <c r="H98" s="1208"/>
      <c r="I98" s="1905">
        <f>'8E- 4%'!I109+'8E 9%'!I109</f>
        <v>1631742.2172614587</v>
      </c>
      <c r="J98" s="1939">
        <f>'8E- 4%'!J109+'8E 9%'!J109</f>
        <v>1672535.7726929951</v>
      </c>
      <c r="K98" s="1939">
        <f>'8E- 4%'!K109+'8E 9%'!K109</f>
        <v>1714349.1670103199</v>
      </c>
      <c r="L98" s="1939">
        <f>'8E- 4%'!L109+'8E 9%'!L109</f>
        <v>1757207.8961855778</v>
      </c>
      <c r="M98" s="1939">
        <f>'8E- 4%'!M109+'8E 9%'!M109</f>
        <v>1801138.0935902172</v>
      </c>
      <c r="N98" s="1939">
        <f>'8E- 4%'!N109+'8E 9%'!N109</f>
        <v>1846166.5459299728</v>
      </c>
      <c r="O98" s="1939">
        <f>'8E- 4%'!O109+'8E 9%'!O109</f>
        <v>1892320.7095782221</v>
      </c>
      <c r="P98" s="1940">
        <f>'8E- 4%'!P109+'8E 9%'!P109</f>
        <v>1939628.7273176773</v>
      </c>
      <c r="Q98" s="944"/>
    </row>
    <row r="99" spans="2:17" x14ac:dyDescent="0.25">
      <c r="B99" s="394"/>
      <c r="C99" s="578" t="s">
        <v>361</v>
      </c>
      <c r="D99" s="1208"/>
      <c r="E99" s="1208"/>
      <c r="F99" s="1208"/>
      <c r="G99" s="1208"/>
      <c r="H99" s="1208"/>
      <c r="I99" s="1905">
        <f>'8E- 4%'!I110+'8E 9%'!I110</f>
        <v>0</v>
      </c>
      <c r="J99" s="1939">
        <f>'8E- 4%'!J110+'8E 9%'!J110</f>
        <v>0</v>
      </c>
      <c r="K99" s="1939">
        <f>'8E- 4%'!K110+'8E 9%'!K110</f>
        <v>0</v>
      </c>
      <c r="L99" s="1939">
        <f>'8E- 4%'!L110+'8E 9%'!L110</f>
        <v>0</v>
      </c>
      <c r="M99" s="1939">
        <f>'8E- 4%'!M110+'8E 9%'!M110</f>
        <v>0</v>
      </c>
      <c r="N99" s="1939">
        <f>'8E- 4%'!N110+'8E 9%'!N110</f>
        <v>0</v>
      </c>
      <c r="O99" s="1939">
        <f>'8E- 4%'!O110+'8E 9%'!O110</f>
        <v>0</v>
      </c>
      <c r="P99" s="1940">
        <f>'8E- 4%'!P110+'8E 9%'!P110</f>
        <v>0</v>
      </c>
      <c r="Q99" s="944"/>
    </row>
    <row r="100" spans="2:17" x14ac:dyDescent="0.25">
      <c r="B100" s="394"/>
      <c r="C100" s="578" t="s">
        <v>371</v>
      </c>
      <c r="D100" s="1208"/>
      <c r="E100" s="1208"/>
      <c r="F100" s="1208"/>
      <c r="G100" s="1208"/>
      <c r="H100" s="1208"/>
      <c r="I100" s="1905">
        <f>'8E- 4%'!I111+'8E 9%'!I111</f>
        <v>0</v>
      </c>
      <c r="J100" s="1939">
        <f>'8E- 4%'!J111+'8E 9%'!J111</f>
        <v>0</v>
      </c>
      <c r="K100" s="1939">
        <f>'8E- 4%'!K111+'8E 9%'!K111</f>
        <v>0</v>
      </c>
      <c r="L100" s="1939">
        <f>'8E- 4%'!L111+'8E 9%'!L111</f>
        <v>0</v>
      </c>
      <c r="M100" s="1939">
        <f>'8E- 4%'!M111+'8E 9%'!M111</f>
        <v>0</v>
      </c>
      <c r="N100" s="1939">
        <f>'8E- 4%'!N111+'8E 9%'!N111</f>
        <v>0</v>
      </c>
      <c r="O100" s="1939">
        <f>'8E- 4%'!O111+'8E 9%'!O111</f>
        <v>0</v>
      </c>
      <c r="P100" s="1940">
        <f>'8E- 4%'!P111+'8E 9%'!P111</f>
        <v>0</v>
      </c>
      <c r="Q100" s="944"/>
    </row>
    <row r="101" spans="2:17" x14ac:dyDescent="0.25">
      <c r="B101" s="394"/>
      <c r="C101" s="578" t="s">
        <v>476</v>
      </c>
      <c r="D101" s="2506" t="str">
        <f>IF(D19=0,"",D19)</f>
        <v/>
      </c>
      <c r="E101" s="2507"/>
      <c r="F101" s="2507"/>
      <c r="G101" s="591"/>
      <c r="H101" s="532"/>
      <c r="I101" s="1905">
        <f>'8E- 4%'!I112+'8E 9%'!I112</f>
        <v>19761.90065473404</v>
      </c>
      <c r="J101" s="1939">
        <f>'8E- 4%'!J112+'8E 9%'!J112</f>
        <v>20255.948171102391</v>
      </c>
      <c r="K101" s="1939">
        <f>'8E- 4%'!K112+'8E 9%'!K112</f>
        <v>20762.34687537995</v>
      </c>
      <c r="L101" s="1939">
        <f>'8E- 4%'!L112+'8E 9%'!L112</f>
        <v>21281.405547264447</v>
      </c>
      <c r="M101" s="1939">
        <f>'8E- 4%'!M112+'8E 9%'!M112</f>
        <v>21813.440685946061</v>
      </c>
      <c r="N101" s="1939">
        <f>'8E- 4%'!N112+'8E 9%'!N112</f>
        <v>22358.776703094714</v>
      </c>
      <c r="O101" s="1939">
        <f>'8E- 4%'!O112+'8E 9%'!O112</f>
        <v>22917.74612067208</v>
      </c>
      <c r="P101" s="1940">
        <f>'8E- 4%'!P112+'8E 9%'!P112</f>
        <v>23490.689773688882</v>
      </c>
      <c r="Q101" s="944"/>
    </row>
    <row r="102" spans="2:17" x14ac:dyDescent="0.25">
      <c r="B102" s="394"/>
      <c r="C102" s="560" t="s">
        <v>476</v>
      </c>
      <c r="D102" s="2506" t="str">
        <f>IF(D20=0,"",D20)</f>
        <v/>
      </c>
      <c r="E102" s="2507"/>
      <c r="F102" s="2507"/>
      <c r="G102" s="591"/>
      <c r="H102" s="532"/>
      <c r="I102" s="1905">
        <f>'8E- 4%'!I113+'8E 9%'!I113</f>
        <v>26466.08830542276</v>
      </c>
      <c r="J102" s="1939">
        <f>'8E- 4%'!J113+'8E 9%'!J113</f>
        <v>27127.740513058328</v>
      </c>
      <c r="K102" s="1939">
        <f>'8E- 4%'!K113+'8E 9%'!K113</f>
        <v>27805.934025884788</v>
      </c>
      <c r="L102" s="1939">
        <f>'8E- 4%'!L113+'8E 9%'!L113</f>
        <v>28501.082376531907</v>
      </c>
      <c r="M102" s="1939">
        <f>'8E- 4%'!M113+'8E 9%'!M113</f>
        <v>29213.609435945204</v>
      </c>
      <c r="N102" s="1939">
        <f>'8E- 4%'!N113+'8E 9%'!N113</f>
        <v>29943.949671843835</v>
      </c>
      <c r="O102" s="1939">
        <f>'8E- 4%'!O113+'8E 9%'!O113</f>
        <v>30692.548413639932</v>
      </c>
      <c r="P102" s="1940">
        <f>'8E- 4%'!P113+'8E 9%'!P113</f>
        <v>31459.862123980929</v>
      </c>
      <c r="Q102" s="944"/>
    </row>
    <row r="103" spans="2:17" x14ac:dyDescent="0.25">
      <c r="B103" s="394"/>
      <c r="C103" s="532" t="s">
        <v>415</v>
      </c>
      <c r="D103" s="1208"/>
      <c r="E103" s="1208"/>
      <c r="F103" s="1208"/>
      <c r="G103" s="1208"/>
      <c r="H103" s="1208"/>
      <c r="I103" s="494">
        <f>SUM(I98:I102)</f>
        <v>1677970.2062216157</v>
      </c>
      <c r="J103" s="495">
        <f t="shared" ref="J103:O103" si="14">SUM(J98:J102)</f>
        <v>1719919.461377156</v>
      </c>
      <c r="K103" s="495">
        <f t="shared" si="14"/>
        <v>1762917.4479115847</v>
      </c>
      <c r="L103" s="495">
        <f t="shared" si="14"/>
        <v>1806990.3841093741</v>
      </c>
      <c r="M103" s="495">
        <f t="shared" si="14"/>
        <v>1852165.1437121085</v>
      </c>
      <c r="N103" s="495">
        <f t="shared" si="14"/>
        <v>1898469.2723049114</v>
      </c>
      <c r="O103" s="495">
        <f t="shared" si="14"/>
        <v>1945931.004112534</v>
      </c>
      <c r="P103" s="496">
        <f>SUM(P98:P102)</f>
        <v>1994579.279215347</v>
      </c>
      <c r="Q103" s="944"/>
    </row>
    <row r="104" spans="2:17" x14ac:dyDescent="0.25">
      <c r="B104" s="394"/>
      <c r="C104" s="532"/>
      <c r="D104" s="1208"/>
      <c r="E104" s="1208"/>
      <c r="F104" s="1208"/>
      <c r="G104" s="1208"/>
      <c r="H104" s="1208"/>
      <c r="I104" s="497"/>
      <c r="J104" s="498"/>
      <c r="K104" s="498"/>
      <c r="L104" s="498"/>
      <c r="M104" s="498"/>
      <c r="N104" s="498"/>
      <c r="O104" s="498"/>
      <c r="P104" s="499"/>
      <c r="Q104" s="944"/>
    </row>
    <row r="105" spans="2:17" x14ac:dyDescent="0.25">
      <c r="B105" s="394"/>
      <c r="C105" s="532" t="s">
        <v>417</v>
      </c>
      <c r="D105" s="1208"/>
      <c r="E105" s="1208"/>
      <c r="F105" s="1208"/>
      <c r="G105" s="1208"/>
      <c r="H105" s="1208"/>
      <c r="I105" s="1941">
        <f>'8E- 4%'!I116+'8E 9%'!I116</f>
        <v>271535.29050484148</v>
      </c>
      <c r="J105" s="1942">
        <f>'8E- 4%'!J116+'8E 9%'!J116</f>
        <v>278323.6727674625</v>
      </c>
      <c r="K105" s="1942">
        <f>'8E- 4%'!K116+'8E 9%'!K116</f>
        <v>285281.76458664902</v>
      </c>
      <c r="L105" s="1942">
        <f>'8E- 4%'!L116+'8E 9%'!L116</f>
        <v>292413.8087013152</v>
      </c>
      <c r="M105" s="1942">
        <f>'8E- 4%'!M116+'8E 9%'!M116</f>
        <v>299724.15391884802</v>
      </c>
      <c r="N105" s="1942">
        <f>'8E- 4%'!N116+'8E 9%'!N116</f>
        <v>307217.25776681921</v>
      </c>
      <c r="O105" s="1942">
        <f>'8E- 4%'!O116+'8E 9%'!O116</f>
        <v>314897.68921098969</v>
      </c>
      <c r="P105" s="1943">
        <f>'8E- 4%'!P116+'8E 9%'!P116</f>
        <v>322770.13144126441</v>
      </c>
      <c r="Q105" s="944"/>
    </row>
    <row r="106" spans="2:17" x14ac:dyDescent="0.25">
      <c r="B106" s="394"/>
      <c r="C106" s="532"/>
      <c r="D106" s="1208"/>
      <c r="E106" s="1208"/>
      <c r="F106" s="1208"/>
      <c r="G106" s="1208"/>
      <c r="H106" s="1208"/>
      <c r="I106" s="497"/>
      <c r="J106" s="498"/>
      <c r="K106" s="498"/>
      <c r="L106" s="498"/>
      <c r="M106" s="498"/>
      <c r="N106" s="498"/>
      <c r="O106" s="498"/>
      <c r="P106" s="499"/>
      <c r="Q106" s="944"/>
    </row>
    <row r="107" spans="2:17" ht="15.75" thickBot="1" x14ac:dyDescent="0.3">
      <c r="B107" s="394"/>
      <c r="C107" s="535" t="s">
        <v>418</v>
      </c>
      <c r="D107" s="1336"/>
      <c r="E107" s="1336"/>
      <c r="F107" s="1336"/>
      <c r="G107" s="1336"/>
      <c r="H107" s="1336"/>
      <c r="I107" s="1944">
        <f>'8E- 4%'!I118+'8E 9%'!I118</f>
        <v>0</v>
      </c>
      <c r="J107" s="1945">
        <f>'8E- 4%'!J118+'8E 9%'!J118</f>
        <v>0</v>
      </c>
      <c r="K107" s="1945">
        <f>'8E- 4%'!K118+'8E 9%'!K118</f>
        <v>0</v>
      </c>
      <c r="L107" s="1945">
        <f>'8E- 4%'!L118+'8E 9%'!L118</f>
        <v>0</v>
      </c>
      <c r="M107" s="1945">
        <f>'8E- 4%'!M118+'8E 9%'!M118</f>
        <v>0</v>
      </c>
      <c r="N107" s="1945">
        <f>'8E- 4%'!N118+'8E 9%'!N118</f>
        <v>0</v>
      </c>
      <c r="O107" s="1945">
        <f>'8E- 4%'!O118+'8E 9%'!O118</f>
        <v>0</v>
      </c>
      <c r="P107" s="1946">
        <f>'8E- 4%'!P118+'8E 9%'!P118</f>
        <v>0</v>
      </c>
      <c r="Q107" s="944"/>
    </row>
    <row r="108" spans="2:17" ht="15.75" thickTop="1" x14ac:dyDescent="0.25">
      <c r="B108" s="394"/>
      <c r="C108" s="524" t="s">
        <v>419</v>
      </c>
      <c r="D108" s="1208"/>
      <c r="E108" s="1208"/>
      <c r="F108" s="1208"/>
      <c r="G108" s="1208"/>
      <c r="H108" s="1208"/>
      <c r="I108" s="500">
        <f>I103+I105+I107</f>
        <v>1949505.496726457</v>
      </c>
      <c r="J108" s="501">
        <f t="shared" ref="J108:O108" si="15">J103+J105+J107</f>
        <v>1998243.1341446184</v>
      </c>
      <c r="K108" s="501">
        <f t="shared" si="15"/>
        <v>2048199.2124982337</v>
      </c>
      <c r="L108" s="501">
        <f t="shared" si="15"/>
        <v>2099404.1928106891</v>
      </c>
      <c r="M108" s="501">
        <f t="shared" si="15"/>
        <v>2151889.2976309564</v>
      </c>
      <c r="N108" s="501">
        <f t="shared" si="15"/>
        <v>2205686.5300717307</v>
      </c>
      <c r="O108" s="501">
        <f t="shared" si="15"/>
        <v>2260828.6933235237</v>
      </c>
      <c r="P108" s="502">
        <f>P103+P105+P107</f>
        <v>2317349.4106566114</v>
      </c>
      <c r="Q108" s="944"/>
    </row>
    <row r="109" spans="2:17" x14ac:dyDescent="0.25">
      <c r="B109" s="394"/>
      <c r="C109" s="524"/>
      <c r="D109" s="1208"/>
      <c r="E109" s="1208"/>
      <c r="F109" s="1208"/>
      <c r="G109" s="1208"/>
      <c r="H109" s="1208"/>
      <c r="I109" s="497"/>
      <c r="J109" s="498"/>
      <c r="K109" s="498"/>
      <c r="L109" s="498"/>
      <c r="M109" s="498"/>
      <c r="N109" s="498"/>
      <c r="O109" s="498"/>
      <c r="P109" s="499"/>
      <c r="Q109" s="944"/>
    </row>
    <row r="110" spans="2:17" x14ac:dyDescent="0.25">
      <c r="B110" s="394"/>
      <c r="C110" s="581" t="s">
        <v>477</v>
      </c>
      <c r="D110" s="1208"/>
      <c r="E110" s="1208"/>
      <c r="F110" s="1208"/>
      <c r="G110" s="1208"/>
      <c r="H110" s="1208"/>
      <c r="I110" s="1360">
        <f t="shared" ref="I110:P110" si="16">-I103*$H28</f>
        <v>-83898.510311080783</v>
      </c>
      <c r="J110" s="1361">
        <f t="shared" si="16"/>
        <v>-85995.973068857798</v>
      </c>
      <c r="K110" s="1361">
        <f t="shared" si="16"/>
        <v>-88145.872395579237</v>
      </c>
      <c r="L110" s="1361">
        <f t="shared" si="16"/>
        <v>-90349.519205468707</v>
      </c>
      <c r="M110" s="1361">
        <f t="shared" si="16"/>
        <v>-92608.257185605427</v>
      </c>
      <c r="N110" s="1361">
        <f t="shared" si="16"/>
        <v>-94923.463615245579</v>
      </c>
      <c r="O110" s="1361">
        <f t="shared" si="16"/>
        <v>-97296.5502056267</v>
      </c>
      <c r="P110" s="1362">
        <f t="shared" si="16"/>
        <v>-99728.96396076736</v>
      </c>
      <c r="Q110" s="944"/>
    </row>
    <row r="111" spans="2:17" ht="15.75" thickBot="1" x14ac:dyDescent="0.3">
      <c r="B111" s="394"/>
      <c r="C111" s="539" t="s">
        <v>478</v>
      </c>
      <c r="D111" s="1336"/>
      <c r="E111" s="1336"/>
      <c r="F111" s="1336"/>
      <c r="G111" s="1336"/>
      <c r="H111" s="1336"/>
      <c r="I111" s="1363">
        <f t="shared" ref="I111:P111" si="17">-I107*$H29</f>
        <v>0</v>
      </c>
      <c r="J111" s="1364">
        <f t="shared" si="17"/>
        <v>0</v>
      </c>
      <c r="K111" s="1364">
        <f t="shared" si="17"/>
        <v>0</v>
      </c>
      <c r="L111" s="1364">
        <f t="shared" si="17"/>
        <v>0</v>
      </c>
      <c r="M111" s="1364">
        <f t="shared" si="17"/>
        <v>0</v>
      </c>
      <c r="N111" s="1364">
        <f t="shared" si="17"/>
        <v>0</v>
      </c>
      <c r="O111" s="1364">
        <f t="shared" si="17"/>
        <v>0</v>
      </c>
      <c r="P111" s="1365">
        <f t="shared" si="17"/>
        <v>0</v>
      </c>
      <c r="Q111" s="944"/>
    </row>
    <row r="112" spans="2:17" ht="16.5" thickTop="1" thickBot="1" x14ac:dyDescent="0.3">
      <c r="B112" s="394"/>
      <c r="C112" s="540" t="s">
        <v>423</v>
      </c>
      <c r="D112" s="1208"/>
      <c r="E112" s="1208"/>
      <c r="F112" s="1208"/>
      <c r="G112" s="1208"/>
      <c r="H112" s="1208"/>
      <c r="I112" s="503">
        <f>I108+I110+I111</f>
        <v>1865606.9864153762</v>
      </c>
      <c r="J112" s="504">
        <f t="shared" ref="J112:O112" si="18">J108+J110+J111</f>
        <v>1912247.1610757606</v>
      </c>
      <c r="K112" s="505">
        <f t="shared" si="18"/>
        <v>1960053.3401026544</v>
      </c>
      <c r="L112" s="505">
        <f t="shared" si="18"/>
        <v>2009054.6736052204</v>
      </c>
      <c r="M112" s="505">
        <f t="shared" si="18"/>
        <v>2059281.040445351</v>
      </c>
      <c r="N112" s="505">
        <f t="shared" si="18"/>
        <v>2110763.0664564851</v>
      </c>
      <c r="O112" s="505">
        <f t="shared" si="18"/>
        <v>2163532.1431178972</v>
      </c>
      <c r="P112" s="506">
        <f>P108+P110+P111</f>
        <v>2217620.4466958442</v>
      </c>
      <c r="Q112" s="944"/>
    </row>
    <row r="113" spans="2:17" ht="7.5" customHeight="1" x14ac:dyDescent="0.25">
      <c r="B113" s="394"/>
      <c r="C113" s="942"/>
      <c r="D113" s="942"/>
      <c r="E113" s="942"/>
      <c r="F113" s="942"/>
      <c r="G113" s="942"/>
      <c r="H113" s="942"/>
      <c r="I113" s="942"/>
      <c r="J113" s="942"/>
      <c r="K113" s="942"/>
      <c r="L113" s="942"/>
      <c r="M113" s="942"/>
      <c r="N113" s="942"/>
      <c r="O113" s="942"/>
      <c r="P113" s="942"/>
      <c r="Q113" s="944"/>
    </row>
    <row r="114" spans="2:17" ht="15.75" thickBot="1" x14ac:dyDescent="0.3">
      <c r="B114" s="517"/>
      <c r="C114" s="462" t="s">
        <v>424</v>
      </c>
      <c r="D114" s="463"/>
      <c r="E114" s="463"/>
      <c r="F114" s="463"/>
      <c r="G114" s="463"/>
      <c r="H114" s="463"/>
      <c r="I114" s="463"/>
      <c r="J114" s="463"/>
      <c r="K114" s="463"/>
      <c r="L114" s="463"/>
      <c r="M114" s="464"/>
      <c r="N114" s="463"/>
      <c r="O114" s="463"/>
      <c r="P114" s="463"/>
      <c r="Q114" s="521"/>
    </row>
    <row r="115" spans="2:17" ht="15.75" thickBot="1" x14ac:dyDescent="0.3">
      <c r="B115" s="517"/>
      <c r="C115" s="524" t="s">
        <v>425</v>
      </c>
      <c r="D115" s="515"/>
      <c r="E115" s="532"/>
      <c r="F115" s="942"/>
      <c r="G115" s="942"/>
      <c r="H115" s="515"/>
      <c r="I115" s="446" t="s">
        <v>468</v>
      </c>
      <c r="J115" s="446" t="s">
        <v>469</v>
      </c>
      <c r="K115" s="446" t="s">
        <v>470</v>
      </c>
      <c r="L115" s="446" t="s">
        <v>471</v>
      </c>
      <c r="M115" s="446" t="s">
        <v>472</v>
      </c>
      <c r="N115" s="446" t="s">
        <v>473</v>
      </c>
      <c r="O115" s="446" t="s">
        <v>474</v>
      </c>
      <c r="P115" s="492" t="s">
        <v>475</v>
      </c>
      <c r="Q115" s="516"/>
    </row>
    <row r="116" spans="2:17" x14ac:dyDescent="0.25">
      <c r="B116" s="517"/>
      <c r="C116" s="543" t="s">
        <v>427</v>
      </c>
      <c r="D116" s="544"/>
      <c r="E116" s="545"/>
      <c r="F116" s="544"/>
      <c r="G116" s="544"/>
      <c r="H116" s="545"/>
      <c r="I116" s="1894">
        <f>'8E- 4%'!I127+'8E 9%'!I127</f>
        <v>203293.48299500046</v>
      </c>
      <c r="J116" s="1895">
        <f>'8E- 4%'!J127+'8E 9%'!J127</f>
        <v>210408.75489982549</v>
      </c>
      <c r="K116" s="1895">
        <f>'8E- 4%'!K127+'8E 9%'!K127</f>
        <v>217773.06132131937</v>
      </c>
      <c r="L116" s="1895">
        <f>'8E- 4%'!L127+'8E 9%'!L127</f>
        <v>225395.11846756554</v>
      </c>
      <c r="M116" s="1895">
        <f>'8E- 4%'!M127+'8E 9%'!M127</f>
        <v>233283.94761393033</v>
      </c>
      <c r="N116" s="1895">
        <f>'8E- 4%'!N127+'8E 9%'!N127</f>
        <v>241448.88578041791</v>
      </c>
      <c r="O116" s="1895">
        <f>'8E- 4%'!O127+'8E 9%'!O127</f>
        <v>249899.59678273252</v>
      </c>
      <c r="P116" s="1896">
        <f>'8E- 4%'!P127+'8E 9%'!P127</f>
        <v>258646.08267012818</v>
      </c>
      <c r="Q116" s="516"/>
    </row>
    <row r="117" spans="2:17" x14ac:dyDescent="0.25">
      <c r="B117" s="517"/>
      <c r="C117" s="551" t="s">
        <v>428</v>
      </c>
      <c r="D117" s="552"/>
      <c r="E117" s="553"/>
      <c r="F117" s="552"/>
      <c r="G117" s="552"/>
      <c r="H117" s="553"/>
      <c r="I117" s="1898">
        <f>'8E- 4%'!I128+'8E 9%'!I128</f>
        <v>111894.5560500499</v>
      </c>
      <c r="J117" s="1899">
        <f>'8E- 4%'!J128+'8E 9%'!J128</f>
        <v>114691.91995130113</v>
      </c>
      <c r="K117" s="1899">
        <f>'8E- 4%'!K128+'8E 9%'!K128</f>
        <v>117559.21795008366</v>
      </c>
      <c r="L117" s="1899">
        <f>'8E- 4%'!L128+'8E 9%'!L128</f>
        <v>120498.19839883575</v>
      </c>
      <c r="M117" s="1899">
        <f>'8E- 4%'!M128+'8E 9%'!M128</f>
        <v>123510.65335880665</v>
      </c>
      <c r="N117" s="1899">
        <f>'8E- 4%'!N128+'8E 9%'!N128</f>
        <v>126598.41969277681</v>
      </c>
      <c r="O117" s="1899">
        <f>'8E- 4%'!O128+'8E 9%'!O128</f>
        <v>129763.38018509623</v>
      </c>
      <c r="P117" s="1900">
        <f>'8E- 4%'!P128+'8E 9%'!P128</f>
        <v>133007.46468972362</v>
      </c>
      <c r="Q117" s="516"/>
    </row>
    <row r="118" spans="2:17" x14ac:dyDescent="0.25">
      <c r="B118" s="517"/>
      <c r="C118" s="551" t="s">
        <v>429</v>
      </c>
      <c r="D118" s="552"/>
      <c r="E118" s="553"/>
      <c r="F118" s="552"/>
      <c r="G118" s="552"/>
      <c r="H118" s="553"/>
      <c r="I118" s="1898">
        <f>'8E- 4%'!I129+'8E 9%'!I129</f>
        <v>21628.747467031757</v>
      </c>
      <c r="J118" s="1899">
        <f>'8E- 4%'!J129+'8E 9%'!J129</f>
        <v>22385.753628377868</v>
      </c>
      <c r="K118" s="1899">
        <f>'8E- 4%'!K129+'8E 9%'!K129</f>
        <v>23169.255005371095</v>
      </c>
      <c r="L118" s="1899">
        <f>'8E- 4%'!L129+'8E 9%'!L129</f>
        <v>23980.178930559083</v>
      </c>
      <c r="M118" s="1899">
        <f>'8E- 4%'!M129+'8E 9%'!M129</f>
        <v>24819.48519312865</v>
      </c>
      <c r="N118" s="1899">
        <f>'8E- 4%'!N129+'8E 9%'!N129</f>
        <v>25688.167174888153</v>
      </c>
      <c r="O118" s="1899">
        <f>'8E- 4%'!O129+'8E 9%'!O129</f>
        <v>26587.253026009239</v>
      </c>
      <c r="P118" s="1900">
        <f>'8E- 4%'!P129+'8E 9%'!P129</f>
        <v>27517.806881919561</v>
      </c>
      <c r="Q118" s="516"/>
    </row>
    <row r="119" spans="2:17" x14ac:dyDescent="0.25">
      <c r="B119" s="517"/>
      <c r="C119" s="551" t="s">
        <v>430</v>
      </c>
      <c r="D119" s="553"/>
      <c r="E119" s="552"/>
      <c r="F119" s="582"/>
      <c r="G119" s="582"/>
      <c r="H119" s="553"/>
      <c r="I119" s="1898">
        <f>'8E- 4%'!I130+'8E 9%'!I130</f>
        <v>3384.2628389590855</v>
      </c>
      <c r="J119" s="1899">
        <f>'8E- 4%'!J130+'8E 9%'!J130</f>
        <v>3502.7120383226534</v>
      </c>
      <c r="K119" s="1899">
        <f>'8E- 4%'!K130+'8E 9%'!K130</f>
        <v>3625.3069596639461</v>
      </c>
      <c r="L119" s="1899">
        <f>'8E- 4%'!L130+'8E 9%'!L130</f>
        <v>3752.1927032521844</v>
      </c>
      <c r="M119" s="1899">
        <f>'8E- 4%'!M130+'8E 9%'!M130</f>
        <v>3883.5194478660105</v>
      </c>
      <c r="N119" s="1899">
        <f>'8E- 4%'!N130+'8E 9%'!N130</f>
        <v>4019.442628541321</v>
      </c>
      <c r="O119" s="1899">
        <f>'8E- 4%'!O130+'8E 9%'!O130</f>
        <v>4160.1231205402673</v>
      </c>
      <c r="P119" s="1900">
        <f>'8E- 4%'!P130+'8E 9%'!P130</f>
        <v>4305.7274297591775</v>
      </c>
      <c r="Q119" s="516"/>
    </row>
    <row r="120" spans="2:17" x14ac:dyDescent="0.25">
      <c r="B120" s="517"/>
      <c r="C120" s="551" t="s">
        <v>431</v>
      </c>
      <c r="D120" s="552"/>
      <c r="E120" s="553"/>
      <c r="F120" s="552"/>
      <c r="G120" s="552"/>
      <c r="H120" s="553"/>
      <c r="I120" s="1898">
        <f>'8E- 4%'!I131+'8E 9%'!I131</f>
        <v>50763.942584386299</v>
      </c>
      <c r="J120" s="1899">
        <f>'8E- 4%'!J131+'8E 9%'!J131</f>
        <v>52540.680574839818</v>
      </c>
      <c r="K120" s="1899">
        <f>'8E- 4%'!K131+'8E 9%'!K131</f>
        <v>54379.604394959213</v>
      </c>
      <c r="L120" s="1899">
        <f>'8E- 4%'!L131+'8E 9%'!L131</f>
        <v>56282.890548782787</v>
      </c>
      <c r="M120" s="1899">
        <f>'8E- 4%'!M131+'8E 9%'!M131</f>
        <v>58252.791717990185</v>
      </c>
      <c r="N120" s="1899">
        <f>'8E- 4%'!N131+'8E 9%'!N131</f>
        <v>60291.639428119845</v>
      </c>
      <c r="O120" s="1899">
        <f>'8E- 4%'!O131+'8E 9%'!O131</f>
        <v>62401.846808104034</v>
      </c>
      <c r="P120" s="1900">
        <f>'8E- 4%'!P131+'8E 9%'!P131</f>
        <v>64585.911446387676</v>
      </c>
      <c r="Q120" s="516"/>
    </row>
    <row r="121" spans="2:17" x14ac:dyDescent="0.25">
      <c r="B121" s="517"/>
      <c r="C121" s="551" t="s">
        <v>432</v>
      </c>
      <c r="D121" s="552"/>
      <c r="E121" s="553"/>
      <c r="F121" s="583"/>
      <c r="G121" s="583"/>
      <c r="H121" s="553"/>
      <c r="I121" s="1898">
        <f>'8E- 4%'!I132+'8E 9%'!I132</f>
        <v>25361.614823988883</v>
      </c>
      <c r="J121" s="1899">
        <f>'8E- 4%'!J132+'8E 9%'!J132</f>
        <v>26249.271342828491</v>
      </c>
      <c r="K121" s="1899">
        <f>'8E- 4%'!K132+'8E 9%'!K132</f>
        <v>27167.99583982749</v>
      </c>
      <c r="L121" s="1899">
        <f>'8E- 4%'!L132+'8E 9%'!L132</f>
        <v>28118.875694221453</v>
      </c>
      <c r="M121" s="1899">
        <f>'8E- 4%'!M132+'8E 9%'!M132</f>
        <v>29103.036343519208</v>
      </c>
      <c r="N121" s="1899">
        <f>'8E- 4%'!N132+'8E 9%'!N132</f>
        <v>146462.13889012928</v>
      </c>
      <c r="O121" s="1899">
        <f>'8E- 4%'!O132+'8E 9%'!O132</f>
        <v>151588.3137512838</v>
      </c>
      <c r="P121" s="1900">
        <f>'8E- 4%'!P132+'8E 9%'!P132</f>
        <v>156893.90473257875</v>
      </c>
      <c r="Q121" s="516"/>
    </row>
    <row r="122" spans="2:17" x14ac:dyDescent="0.25">
      <c r="B122" s="517"/>
      <c r="C122" s="551" t="s">
        <v>433</v>
      </c>
      <c r="D122" s="552"/>
      <c r="E122" s="553"/>
      <c r="F122" s="552"/>
      <c r="G122" s="552"/>
      <c r="H122" s="553"/>
      <c r="I122" s="1898">
        <f>'8E- 4%'!I133+'8E 9%'!I133</f>
        <v>1526.7351153198883</v>
      </c>
      <c r="J122" s="1899">
        <f>'8E- 4%'!J133+'8E 9%'!J133</f>
        <v>1580.1708443560842</v>
      </c>
      <c r="K122" s="1899">
        <f>'8E- 4%'!K133+'8E 9%'!K133</f>
        <v>1635.4768239085474</v>
      </c>
      <c r="L122" s="1899">
        <f>'8E- 4%'!L133+'8E 9%'!L133</f>
        <v>1692.7185127453463</v>
      </c>
      <c r="M122" s="1899">
        <f>'8E- 4%'!M133+'8E 9%'!M133</f>
        <v>1751.9636606914337</v>
      </c>
      <c r="N122" s="1899">
        <f>'8E- 4%'!N133+'8E 9%'!N133</f>
        <v>1813.282388815634</v>
      </c>
      <c r="O122" s="1899">
        <f>'8E- 4%'!O133+'8E 9%'!O133</f>
        <v>1876.7472724241811</v>
      </c>
      <c r="P122" s="1900">
        <f>'8E- 4%'!P133+'8E 9%'!P133</f>
        <v>1942.4334269590277</v>
      </c>
      <c r="Q122" s="516"/>
    </row>
    <row r="123" spans="2:17" x14ac:dyDescent="0.25">
      <c r="B123" s="517"/>
      <c r="C123" s="551" t="s">
        <v>434</v>
      </c>
      <c r="D123" s="553"/>
      <c r="E123" s="552"/>
      <c r="F123" s="582"/>
      <c r="G123" s="582"/>
      <c r="H123" s="553"/>
      <c r="I123" s="1898">
        <f>'8E- 4%'!I134+'8E 9%'!I134</f>
        <v>0</v>
      </c>
      <c r="J123" s="1899">
        <f>'8E- 4%'!J134+'8E 9%'!J134</f>
        <v>0</v>
      </c>
      <c r="K123" s="1899">
        <f>'8E- 4%'!K134+'8E 9%'!K134</f>
        <v>0</v>
      </c>
      <c r="L123" s="1899">
        <f>'8E- 4%'!L134+'8E 9%'!L134</f>
        <v>0</v>
      </c>
      <c r="M123" s="1899">
        <f>'8E- 4%'!M134+'8E 9%'!M134</f>
        <v>0</v>
      </c>
      <c r="N123" s="1899">
        <f>'8E- 4%'!N134+'8E 9%'!N134</f>
        <v>0</v>
      </c>
      <c r="O123" s="1899">
        <f>'8E- 4%'!O134+'8E 9%'!O134</f>
        <v>0</v>
      </c>
      <c r="P123" s="1900">
        <f>'8E- 4%'!P134+'8E 9%'!P134</f>
        <v>0</v>
      </c>
      <c r="Q123" s="516"/>
    </row>
    <row r="124" spans="2:17" x14ac:dyDescent="0.25">
      <c r="B124" s="517"/>
      <c r="C124" s="551" t="s">
        <v>435</v>
      </c>
      <c r="D124" s="552"/>
      <c r="E124" s="553"/>
      <c r="F124" s="552"/>
      <c r="G124" s="552"/>
      <c r="H124" s="553"/>
      <c r="I124" s="1898">
        <f>'8E- 4%'!I135+'8E 9%'!I135</f>
        <v>15229.182775315887</v>
      </c>
      <c r="J124" s="1899">
        <f>'8E- 4%'!J135+'8E 9%'!J135</f>
        <v>15762.204172451944</v>
      </c>
      <c r="K124" s="1899">
        <f>'8E- 4%'!K135+'8E 9%'!K135</f>
        <v>16313.881318487762</v>
      </c>
      <c r="L124" s="1899">
        <f>'8E- 4%'!L135+'8E 9%'!L135</f>
        <v>16884.86716463483</v>
      </c>
      <c r="M124" s="1899">
        <f>'8E- 4%'!M135+'8E 9%'!M135</f>
        <v>17475.837515397052</v>
      </c>
      <c r="N124" s="1899">
        <f>'8E- 4%'!N135+'8E 9%'!N135</f>
        <v>18087.491828435948</v>
      </c>
      <c r="O124" s="1899">
        <f>'8E- 4%'!O135+'8E 9%'!O135</f>
        <v>18720.554042431206</v>
      </c>
      <c r="P124" s="1900">
        <f>'8E- 4%'!P135+'8E 9%'!P135</f>
        <v>19375.773433916296</v>
      </c>
      <c r="Q124" s="516"/>
    </row>
    <row r="125" spans="2:17" x14ac:dyDescent="0.25">
      <c r="B125" s="517"/>
      <c r="C125" s="551" t="s">
        <v>436</v>
      </c>
      <c r="D125" s="553"/>
      <c r="E125" s="553"/>
      <c r="F125" s="553"/>
      <c r="G125" s="553"/>
      <c r="H125" s="553"/>
      <c r="I125" s="1898">
        <f>'8E- 4%'!I136+'8E 9%'!I136</f>
        <v>33842.628389590856</v>
      </c>
      <c r="J125" s="1899">
        <f>'8E- 4%'!J136+'8E 9%'!J136</f>
        <v>35027.120383226538</v>
      </c>
      <c r="K125" s="1899">
        <f>'8E- 4%'!K136+'8E 9%'!K136</f>
        <v>36253.069596639463</v>
      </c>
      <c r="L125" s="1899">
        <f>'8E- 4%'!L136+'8E 9%'!L136</f>
        <v>37521.927032521846</v>
      </c>
      <c r="M125" s="1899">
        <f>'8E- 4%'!M136+'8E 9%'!M136</f>
        <v>38835.194478660109</v>
      </c>
      <c r="N125" s="1899">
        <f>'8E- 4%'!N136+'8E 9%'!N136</f>
        <v>40194.42628541321</v>
      </c>
      <c r="O125" s="1899">
        <f>'8E- 4%'!O136+'8E 9%'!O136</f>
        <v>41601.231205402677</v>
      </c>
      <c r="P125" s="1900">
        <f>'8E- 4%'!P136+'8E 9%'!P136</f>
        <v>43057.274297591772</v>
      </c>
      <c r="Q125" s="516"/>
    </row>
    <row r="126" spans="2:17" x14ac:dyDescent="0.25">
      <c r="B126" s="517"/>
      <c r="C126" s="551" t="s">
        <v>437</v>
      </c>
      <c r="D126" s="552"/>
      <c r="E126" s="553"/>
      <c r="F126" s="552"/>
      <c r="G126" s="552"/>
      <c r="H126" s="553"/>
      <c r="I126" s="1898">
        <f>'8E- 4%'!I137+'8E 9%'!I137</f>
        <v>14213.903923628161</v>
      </c>
      <c r="J126" s="1899">
        <f>'8E- 4%'!J137+'8E 9%'!J137</f>
        <v>14711.390560955148</v>
      </c>
      <c r="K126" s="1899">
        <f>'8E- 4%'!K137+'8E 9%'!K137</f>
        <v>15226.289230588576</v>
      </c>
      <c r="L126" s="1899">
        <f>'8E- 4%'!L137+'8E 9%'!L137</f>
        <v>15759.209353659178</v>
      </c>
      <c r="M126" s="1899">
        <f>'8E- 4%'!M137+'8E 9%'!M137</f>
        <v>16310.781681037248</v>
      </c>
      <c r="N126" s="1899">
        <f>'8E- 4%'!N137+'8E 9%'!N137</f>
        <v>16881.65903987355</v>
      </c>
      <c r="O126" s="1899">
        <f>'8E- 4%'!O137+'8E 9%'!O137</f>
        <v>17472.517106269126</v>
      </c>
      <c r="P126" s="1900">
        <f>'8E- 4%'!P137+'8E 9%'!P137</f>
        <v>18084.055204988545</v>
      </c>
      <c r="Q126" s="516"/>
    </row>
    <row r="127" spans="2:17" x14ac:dyDescent="0.25">
      <c r="B127" s="517"/>
      <c r="C127" s="551" t="s">
        <v>438</v>
      </c>
      <c r="D127" s="553"/>
      <c r="E127" s="553"/>
      <c r="F127" s="553"/>
      <c r="G127" s="553"/>
      <c r="H127" s="553"/>
      <c r="I127" s="1898">
        <f>'8E- 4%'!I138+'8E 9%'!I138</f>
        <v>8460.6570973977141</v>
      </c>
      <c r="J127" s="1899">
        <f>'8E- 4%'!J138+'8E 9%'!J138</f>
        <v>8756.7800958066346</v>
      </c>
      <c r="K127" s="1899">
        <f>'8E- 4%'!K138+'8E 9%'!K138</f>
        <v>9063.2673991598658</v>
      </c>
      <c r="L127" s="1899">
        <f>'8E- 4%'!L138+'8E 9%'!L138</f>
        <v>9380.4817581304615</v>
      </c>
      <c r="M127" s="1899">
        <f>'8E- 4%'!M138+'8E 9%'!M138</f>
        <v>9708.7986196650272</v>
      </c>
      <c r="N127" s="1899">
        <f>'8E- 4%'!N138+'8E 9%'!N138</f>
        <v>10048.606571353303</v>
      </c>
      <c r="O127" s="1899">
        <f>'8E- 4%'!O138+'8E 9%'!O138</f>
        <v>10400.307801350669</v>
      </c>
      <c r="P127" s="1900">
        <f>'8E- 4%'!P138+'8E 9%'!P138</f>
        <v>10764.318574397943</v>
      </c>
      <c r="Q127" s="516"/>
    </row>
    <row r="128" spans="2:17" x14ac:dyDescent="0.25">
      <c r="B128" s="517"/>
      <c r="C128" s="551" t="s">
        <v>439</v>
      </c>
      <c r="D128" s="553"/>
      <c r="E128" s="553"/>
      <c r="F128" s="553"/>
      <c r="G128" s="553"/>
      <c r="H128" s="553"/>
      <c r="I128" s="1898">
        <f>'8E- 4%'!I139+'8E 9%'!I139</f>
        <v>16921.314194795428</v>
      </c>
      <c r="J128" s="1899">
        <f>'8E- 4%'!J139+'8E 9%'!J139</f>
        <v>17513.560191613269</v>
      </c>
      <c r="K128" s="1899">
        <f>'8E- 4%'!K139+'8E 9%'!K139</f>
        <v>18126.534798319732</v>
      </c>
      <c r="L128" s="1899">
        <f>'8E- 4%'!L139+'8E 9%'!L139</f>
        <v>18760.963516260923</v>
      </c>
      <c r="M128" s="1899">
        <f>'8E- 4%'!M139+'8E 9%'!M139</f>
        <v>19417.597239330054</v>
      </c>
      <c r="N128" s="1899">
        <f>'8E- 4%'!N139+'8E 9%'!N139</f>
        <v>20097.213142706605</v>
      </c>
      <c r="O128" s="1899">
        <f>'8E- 4%'!O139+'8E 9%'!O139</f>
        <v>20800.615602701339</v>
      </c>
      <c r="P128" s="1900">
        <f>'8E- 4%'!P139+'8E 9%'!P139</f>
        <v>21528.637148795886</v>
      </c>
      <c r="Q128" s="516"/>
    </row>
    <row r="129" spans="2:17" x14ac:dyDescent="0.25">
      <c r="B129" s="517"/>
      <c r="C129" s="551" t="s">
        <v>440</v>
      </c>
      <c r="D129" s="553"/>
      <c r="E129" s="553"/>
      <c r="F129" s="553"/>
      <c r="G129" s="553"/>
      <c r="H129" s="553"/>
      <c r="I129" s="1898">
        <f>'8E- 4%'!I140+'8E 9%'!I140</f>
        <v>8460.6570973977141</v>
      </c>
      <c r="J129" s="1899">
        <f>'8E- 4%'!J140+'8E 9%'!J140</f>
        <v>8756.7800958066346</v>
      </c>
      <c r="K129" s="1899">
        <f>'8E- 4%'!K140+'8E 9%'!K140</f>
        <v>9063.2673991598658</v>
      </c>
      <c r="L129" s="1899">
        <f>'8E- 4%'!L140+'8E 9%'!L140</f>
        <v>9380.4817581304615</v>
      </c>
      <c r="M129" s="1899">
        <f>'8E- 4%'!M140+'8E 9%'!M140</f>
        <v>9708.7986196650272</v>
      </c>
      <c r="N129" s="1899">
        <f>'8E- 4%'!N140+'8E 9%'!N140</f>
        <v>10048.606571353303</v>
      </c>
      <c r="O129" s="1899">
        <f>'8E- 4%'!O140+'8E 9%'!O140</f>
        <v>10400.307801350669</v>
      </c>
      <c r="P129" s="1900">
        <f>'8E- 4%'!P140+'8E 9%'!P140</f>
        <v>10764.318574397943</v>
      </c>
      <c r="Q129" s="516"/>
    </row>
    <row r="130" spans="2:17" x14ac:dyDescent="0.25">
      <c r="B130" s="517"/>
      <c r="C130" s="551" t="s">
        <v>441</v>
      </c>
      <c r="D130" s="553"/>
      <c r="E130" s="553"/>
      <c r="F130" s="553"/>
      <c r="G130" s="553"/>
      <c r="H130" s="553"/>
      <c r="I130" s="1898">
        <f>'8E- 4%'!I141+'8E 9%'!I141</f>
        <v>8968.2965232415772</v>
      </c>
      <c r="J130" s="1899">
        <f>'8E- 4%'!J141+'8E 9%'!J141</f>
        <v>9282.1869015550328</v>
      </c>
      <c r="K130" s="1899">
        <f>'8E- 4%'!K141+'8E 9%'!K141</f>
        <v>9607.0634431094586</v>
      </c>
      <c r="L130" s="1899">
        <f>'8E- 4%'!L141+'8E 9%'!L141</f>
        <v>9943.3106636182893</v>
      </c>
      <c r="M130" s="1899">
        <f>'8E- 4%'!M141+'8E 9%'!M141</f>
        <v>10291.326536844928</v>
      </c>
      <c r="N130" s="1899">
        <f>'8E- 4%'!N141+'8E 9%'!N141</f>
        <v>10651.522965634502</v>
      </c>
      <c r="O130" s="1899">
        <f>'8E- 4%'!O141+'8E 9%'!O141</f>
        <v>11024.326269431709</v>
      </c>
      <c r="P130" s="1900">
        <f>'8E- 4%'!P141+'8E 9%'!P141</f>
        <v>11410.177688861819</v>
      </c>
      <c r="Q130" s="516"/>
    </row>
    <row r="131" spans="2:17" x14ac:dyDescent="0.25">
      <c r="B131" s="517"/>
      <c r="C131" s="551" t="s">
        <v>442</v>
      </c>
      <c r="D131" s="552"/>
      <c r="E131" s="553"/>
      <c r="F131" s="552"/>
      <c r="G131" s="552"/>
      <c r="H131" s="553"/>
      <c r="I131" s="1898">
        <f>'8E- 4%'!I142+'8E 9%'!I142</f>
        <v>111137.01841536287</v>
      </c>
      <c r="J131" s="1899">
        <f>'8E- 4%'!J142+'8E 9%'!J142</f>
        <v>115582.49915197738</v>
      </c>
      <c r="K131" s="1899">
        <f>'8E- 4%'!K142+'8E 9%'!K142</f>
        <v>120205.79911805649</v>
      </c>
      <c r="L131" s="1899">
        <f>'8E- 4%'!L142+'8E 9%'!L142</f>
        <v>125014.03108277873</v>
      </c>
      <c r="M131" s="1899">
        <f>'8E- 4%'!M142+'8E 9%'!M142</f>
        <v>130014.59232608989</v>
      </c>
      <c r="N131" s="1899">
        <f>'8E- 4%'!N142+'8E 9%'!N142</f>
        <v>135215.17601913348</v>
      </c>
      <c r="O131" s="1899">
        <f>'8E- 4%'!O142+'8E 9%'!O142</f>
        <v>140623.78305989882</v>
      </c>
      <c r="P131" s="1900">
        <f>'8E- 4%'!P142+'8E 9%'!P142</f>
        <v>146248.73438229476</v>
      </c>
      <c r="Q131" s="516"/>
    </row>
    <row r="132" spans="2:17" x14ac:dyDescent="0.25">
      <c r="B132" s="517"/>
      <c r="C132" s="551" t="s">
        <v>443</v>
      </c>
      <c r="D132" s="552"/>
      <c r="E132" s="553"/>
      <c r="F132" s="552"/>
      <c r="G132" s="552"/>
      <c r="H132" s="553"/>
      <c r="I132" s="1898">
        <f>'8E- 4%'!I143+'8E 9%'!I143</f>
        <v>23689.839872713601</v>
      </c>
      <c r="J132" s="1899">
        <f>'8E- 4%'!J143+'8E 9%'!J143</f>
        <v>24518.984268258577</v>
      </c>
      <c r="K132" s="1899">
        <f>'8E- 4%'!K143+'8E 9%'!K143</f>
        <v>25377.148717647629</v>
      </c>
      <c r="L132" s="1899">
        <f>'8E- 4%'!L143+'8E 9%'!L143</f>
        <v>26265.348922765297</v>
      </c>
      <c r="M132" s="1899">
        <f>'8E- 4%'!M143+'8E 9%'!M143</f>
        <v>27184.636135062079</v>
      </c>
      <c r="N132" s="1899">
        <f>'8E- 4%'!N143+'8E 9%'!N143</f>
        <v>28136.098399789254</v>
      </c>
      <c r="O132" s="1899">
        <f>'8E- 4%'!O143+'8E 9%'!O143</f>
        <v>29120.86184378188</v>
      </c>
      <c r="P132" s="1900">
        <f>'8E- 4%'!P143+'8E 9%'!P143</f>
        <v>30140.092008314245</v>
      </c>
      <c r="Q132" s="516"/>
    </row>
    <row r="133" spans="2:17" x14ac:dyDescent="0.25">
      <c r="B133" s="517"/>
      <c r="C133" s="551" t="s">
        <v>444</v>
      </c>
      <c r="D133" s="552"/>
      <c r="E133" s="553"/>
      <c r="F133" s="552"/>
      <c r="G133" s="552"/>
      <c r="H133" s="553"/>
      <c r="I133" s="1898">
        <f>'8E- 4%'!I144+'8E 9%'!I144</f>
        <v>13537.051355836342</v>
      </c>
      <c r="J133" s="1899">
        <f>'8E- 4%'!J144+'8E 9%'!J144</f>
        <v>14010.848153290613</v>
      </c>
      <c r="K133" s="1899">
        <f>'8E- 4%'!K144+'8E 9%'!K144</f>
        <v>14501.227838655785</v>
      </c>
      <c r="L133" s="1899">
        <f>'8E- 4%'!L144+'8E 9%'!L144</f>
        <v>15008.770813008738</v>
      </c>
      <c r="M133" s="1899">
        <f>'8E- 4%'!M144+'8E 9%'!M144</f>
        <v>15534.077791464042</v>
      </c>
      <c r="N133" s="1899">
        <f>'8E- 4%'!N144+'8E 9%'!N144</f>
        <v>16077.770514165284</v>
      </c>
      <c r="O133" s="1899">
        <f>'8E- 4%'!O144+'8E 9%'!O144</f>
        <v>16640.492482161069</v>
      </c>
      <c r="P133" s="1900">
        <f>'8E- 4%'!P144+'8E 9%'!P144</f>
        <v>17222.90971903671</v>
      </c>
      <c r="Q133" s="516"/>
    </row>
    <row r="134" spans="2:17" x14ac:dyDescent="0.25">
      <c r="B134" s="517"/>
      <c r="C134" s="551" t="s">
        <v>445</v>
      </c>
      <c r="D134" s="553"/>
      <c r="E134" s="553"/>
      <c r="F134" s="553"/>
      <c r="G134" s="553"/>
      <c r="H134" s="553"/>
      <c r="I134" s="1898">
        <f>'8E- 4%'!I145+'8E 9%'!I145</f>
        <v>21151.642743494289</v>
      </c>
      <c r="J134" s="1899">
        <f>'8E- 4%'!J145+'8E 9%'!J145</f>
        <v>21891.950239516587</v>
      </c>
      <c r="K134" s="1899">
        <f>'8E- 4%'!K145+'8E 9%'!K145</f>
        <v>22658.168497899667</v>
      </c>
      <c r="L134" s="1899">
        <f>'8E- 4%'!L145+'8E 9%'!L145</f>
        <v>23451.204395326156</v>
      </c>
      <c r="M134" s="1899">
        <f>'8E- 4%'!M145+'8E 9%'!M145</f>
        <v>24271.99654916257</v>
      </c>
      <c r="N134" s="1899">
        <f>'8E- 4%'!N145+'8E 9%'!N145</f>
        <v>25121.516428383264</v>
      </c>
      <c r="O134" s="1899">
        <f>'8E- 4%'!O145+'8E 9%'!O145</f>
        <v>26000.769503376676</v>
      </c>
      <c r="P134" s="1900">
        <f>'8E- 4%'!P145+'8E 9%'!P145</f>
        <v>26910.79643599486</v>
      </c>
      <c r="Q134" s="516"/>
    </row>
    <row r="135" spans="2:17" x14ac:dyDescent="0.25">
      <c r="B135" s="517"/>
      <c r="C135" s="551" t="s">
        <v>446</v>
      </c>
      <c r="D135" s="553"/>
      <c r="E135" s="553"/>
      <c r="F135" s="553"/>
      <c r="G135" s="553"/>
      <c r="H135" s="553"/>
      <c r="I135" s="1898">
        <f>'8E- 4%'!I146+'8E 9%'!I146</f>
        <v>5725.2566824495825</v>
      </c>
      <c r="J135" s="1899">
        <f>'8E- 4%'!J146+'8E 9%'!J146</f>
        <v>5925.6406663353173</v>
      </c>
      <c r="K135" s="1899">
        <f>'8E- 4%'!K146+'8E 9%'!K146</f>
        <v>6133.0380896570532</v>
      </c>
      <c r="L135" s="1899">
        <f>'8E- 4%'!L146+'8E 9%'!L146</f>
        <v>6347.6944227950507</v>
      </c>
      <c r="M135" s="1899">
        <f>'8E- 4%'!M146+'8E 9%'!M146</f>
        <v>6569.8637275928777</v>
      </c>
      <c r="N135" s="1899">
        <f>'8E- 4%'!N146+'8E 9%'!N146</f>
        <v>6799.8089580586275</v>
      </c>
      <c r="O135" s="1899">
        <f>'8E- 4%'!O146+'8E 9%'!O146</f>
        <v>7037.80227159068</v>
      </c>
      <c r="P135" s="1900">
        <f>'8E- 4%'!P146+'8E 9%'!P146</f>
        <v>7284.1253510963543</v>
      </c>
      <c r="Q135" s="516"/>
    </row>
    <row r="136" spans="2:17" x14ac:dyDescent="0.25">
      <c r="B136" s="517"/>
      <c r="C136" s="560" t="s">
        <v>247</v>
      </c>
      <c r="D136" s="561"/>
      <c r="E136" s="562"/>
      <c r="F136" s="584"/>
      <c r="G136" s="584"/>
      <c r="H136" s="562"/>
      <c r="I136" s="1902">
        <f>'8E- 4%'!I147+'8E 9%'!I147</f>
        <v>117959.37184740289</v>
      </c>
      <c r="J136" s="1903">
        <f>'8E- 4%'!J147+'8E 9%'!J147</f>
        <v>122087.949862062</v>
      </c>
      <c r="K136" s="1903">
        <f>'8E- 4%'!K147+'8E 9%'!K147</f>
        <v>126361.02810723416</v>
      </c>
      <c r="L136" s="1903">
        <f>'8E- 4%'!L147+'8E 9%'!L147</f>
        <v>130783.66409098735</v>
      </c>
      <c r="M136" s="1903">
        <f>'8E- 4%'!M147+'8E 9%'!M147</f>
        <v>135361.09233417193</v>
      </c>
      <c r="N136" s="1903">
        <f>'8E- 4%'!N147+'8E 9%'!N147</f>
        <v>140098.73056586794</v>
      </c>
      <c r="O136" s="1903">
        <f>'8E- 4%'!O147+'8E 9%'!O147</f>
        <v>145002.18613567331</v>
      </c>
      <c r="P136" s="1904">
        <f>'8E- 4%'!P147+'8E 9%'!P147</f>
        <v>150077.26265042188</v>
      </c>
      <c r="Q136" s="516"/>
    </row>
    <row r="137" spans="2:17" x14ac:dyDescent="0.25">
      <c r="B137" s="517"/>
      <c r="C137" s="475" t="s">
        <v>447</v>
      </c>
      <c r="D137" s="532"/>
      <c r="E137" s="515"/>
      <c r="F137" s="533"/>
      <c r="G137" s="533"/>
      <c r="H137" s="515"/>
      <c r="I137" s="469">
        <f>SUM(I116:I136)</f>
        <v>817150.1627933631</v>
      </c>
      <c r="J137" s="470">
        <f t="shared" ref="J137:O137" si="19">SUM(J116:J136)</f>
        <v>845187.1580227071</v>
      </c>
      <c r="K137" s="470">
        <f t="shared" si="19"/>
        <v>874199.70184974885</v>
      </c>
      <c r="L137" s="470">
        <f t="shared" si="19"/>
        <v>904222.12823057966</v>
      </c>
      <c r="M137" s="470">
        <f t="shared" si="19"/>
        <v>935289.99089007522</v>
      </c>
      <c r="N137" s="470">
        <f t="shared" si="19"/>
        <v>1083780.6032738572</v>
      </c>
      <c r="O137" s="470">
        <f t="shared" si="19"/>
        <v>1121123.0160716102</v>
      </c>
      <c r="P137" s="507">
        <f>SUM(P116:P136)</f>
        <v>1159767.806747565</v>
      </c>
      <c r="Q137" s="516"/>
    </row>
    <row r="138" spans="2:17" ht="7.5" customHeight="1" x14ac:dyDescent="0.25">
      <c r="B138" s="517"/>
      <c r="C138" s="475"/>
      <c r="D138" s="532"/>
      <c r="E138" s="515"/>
      <c r="F138" s="533"/>
      <c r="G138" s="533"/>
      <c r="H138" s="515"/>
      <c r="I138" s="472"/>
      <c r="J138" s="473"/>
      <c r="K138" s="473"/>
      <c r="L138" s="473"/>
      <c r="M138" s="473"/>
      <c r="N138" s="473"/>
      <c r="O138" s="473"/>
      <c r="P138" s="474"/>
      <c r="Q138" s="516"/>
    </row>
    <row r="139" spans="2:17" x14ac:dyDescent="0.25">
      <c r="B139" s="517"/>
      <c r="C139" s="585" t="s">
        <v>448</v>
      </c>
      <c r="D139" s="532"/>
      <c r="E139" s="515"/>
      <c r="F139" s="532"/>
      <c r="G139" s="532"/>
      <c r="H139" s="515"/>
      <c r="I139" s="1898">
        <f>'8E- 4%'!I150+'8E 9%'!I150</f>
        <v>59224.599681784013</v>
      </c>
      <c r="J139" s="1899">
        <f>'8E- 4%'!J150+'8E 9%'!J150</f>
        <v>61297.460670646455</v>
      </c>
      <c r="K139" s="1899">
        <f>'8E- 4%'!K150+'8E 9%'!K150</f>
        <v>63442.871794119077</v>
      </c>
      <c r="L139" s="1899">
        <f>'8E- 4%'!L150+'8E 9%'!L150</f>
        <v>65663.372306913239</v>
      </c>
      <c r="M139" s="1899">
        <f>'8E- 4%'!M150+'8E 9%'!M150</f>
        <v>67961.590337655216</v>
      </c>
      <c r="N139" s="1899">
        <f>'8E- 4%'!N150+'8E 9%'!N150</f>
        <v>70340.245999473147</v>
      </c>
      <c r="O139" s="1899">
        <f>'8E- 4%'!O150+'8E 9%'!O150</f>
        <v>72802.154609454708</v>
      </c>
      <c r="P139" s="1900">
        <f>'8E- 4%'!P150+'8E 9%'!P150</f>
        <v>75350.230020785617</v>
      </c>
      <c r="Q139" s="516"/>
    </row>
    <row r="140" spans="2:17" x14ac:dyDescent="0.25">
      <c r="B140" s="517"/>
      <c r="C140" s="569" t="s">
        <v>449</v>
      </c>
      <c r="D140" s="561"/>
      <c r="E140" s="562"/>
      <c r="F140" s="561"/>
      <c r="G140" s="561"/>
      <c r="H140" s="562"/>
      <c r="I140" s="1902">
        <f>'8E- 4%'!I151+'8E 9%'!I151</f>
        <v>0</v>
      </c>
      <c r="J140" s="1903">
        <f>'8E- 4%'!J151+'8E 9%'!J151</f>
        <v>0</v>
      </c>
      <c r="K140" s="1903">
        <f>'8E- 4%'!K151+'8E 9%'!K151</f>
        <v>0</v>
      </c>
      <c r="L140" s="1903">
        <f>'8E- 4%'!L151+'8E 9%'!L151</f>
        <v>0</v>
      </c>
      <c r="M140" s="1903">
        <f>'8E- 4%'!M151+'8E 9%'!M151</f>
        <v>0</v>
      </c>
      <c r="N140" s="1903">
        <f>'8E- 4%'!N151+'8E 9%'!N151</f>
        <v>0</v>
      </c>
      <c r="O140" s="1903">
        <f>'8E- 4%'!O151+'8E 9%'!O151</f>
        <v>0</v>
      </c>
      <c r="P140" s="1904">
        <f>'8E- 4%'!P151+'8E 9%'!P151</f>
        <v>0</v>
      </c>
      <c r="Q140" s="516"/>
    </row>
    <row r="141" spans="2:17" x14ac:dyDescent="0.25">
      <c r="B141" s="517"/>
      <c r="C141" s="475" t="s">
        <v>450</v>
      </c>
      <c r="D141" s="532"/>
      <c r="E141" s="532"/>
      <c r="F141" s="532"/>
      <c r="G141" s="532"/>
      <c r="H141" s="515"/>
      <c r="I141" s="469">
        <f>SUM(I139:I140)</f>
        <v>59224.599681784013</v>
      </c>
      <c r="J141" s="470">
        <f t="shared" ref="J141:P141" si="20">SUM(J139:J140)</f>
        <v>61297.460670646455</v>
      </c>
      <c r="K141" s="470">
        <f t="shared" si="20"/>
        <v>63442.871794119077</v>
      </c>
      <c r="L141" s="470">
        <f t="shared" si="20"/>
        <v>65663.372306913239</v>
      </c>
      <c r="M141" s="470">
        <f t="shared" si="20"/>
        <v>67961.590337655216</v>
      </c>
      <c r="N141" s="470">
        <f t="shared" si="20"/>
        <v>70340.245999473147</v>
      </c>
      <c r="O141" s="470">
        <f t="shared" si="20"/>
        <v>72802.154609454708</v>
      </c>
      <c r="P141" s="471">
        <f t="shared" si="20"/>
        <v>75350.230020785617</v>
      </c>
      <c r="Q141" s="516"/>
    </row>
    <row r="142" spans="2:17" ht="7.5" customHeight="1" x14ac:dyDescent="0.25">
      <c r="B142" s="517"/>
      <c r="C142" s="475"/>
      <c r="D142" s="532"/>
      <c r="E142" s="532"/>
      <c r="F142" s="532"/>
      <c r="G142" s="532"/>
      <c r="H142" s="515"/>
      <c r="I142" s="472"/>
      <c r="J142" s="473"/>
      <c r="K142" s="473"/>
      <c r="L142" s="473"/>
      <c r="M142" s="473"/>
      <c r="N142" s="473"/>
      <c r="O142" s="473"/>
      <c r="P142" s="474"/>
      <c r="Q142" s="516"/>
    </row>
    <row r="143" spans="2:17" x14ac:dyDescent="0.25">
      <c r="B143" s="517"/>
      <c r="C143" s="475" t="s">
        <v>451</v>
      </c>
      <c r="D143" s="532"/>
      <c r="E143" s="339"/>
      <c r="F143" s="532"/>
      <c r="G143" s="532"/>
      <c r="H143" s="515"/>
      <c r="I143" s="1909">
        <f>'8E- 4%'!I154+'8E 9%'!I154</f>
        <v>271535.10031512094</v>
      </c>
      <c r="J143" s="1947">
        <f>'8E- 4%'!J154+'8E 9%'!J154</f>
        <v>278323.47782299895</v>
      </c>
      <c r="K143" s="1947">
        <f>'8E- 4%'!K154+'8E 9%'!K154</f>
        <v>285281.56476857391</v>
      </c>
      <c r="L143" s="1947">
        <f>'8E- 4%'!L154+'8E 9%'!L154</f>
        <v>292413.60388778825</v>
      </c>
      <c r="M143" s="1947">
        <f>'8E- 4%'!M154+'8E 9%'!M154</f>
        <v>299723.94398498297</v>
      </c>
      <c r="N143" s="1947">
        <f>'8E- 4%'!N154+'8E 9%'!N154</f>
        <v>307217.04258460755</v>
      </c>
      <c r="O143" s="1947">
        <f>'8E- 4%'!O154+'8E 9%'!O154</f>
        <v>314897.46864922275</v>
      </c>
      <c r="P143" s="1948">
        <f>'8E- 4%'!P154+'8E 9%'!P154</f>
        <v>322769.90536545333</v>
      </c>
      <c r="Q143" s="516"/>
    </row>
    <row r="144" spans="2:17" ht="7.5" customHeight="1" x14ac:dyDescent="0.25">
      <c r="B144" s="517"/>
      <c r="C144" s="475"/>
      <c r="D144" s="532"/>
      <c r="E144" s="339"/>
      <c r="F144" s="532"/>
      <c r="G144" s="532"/>
      <c r="H144" s="515"/>
      <c r="I144" s="472"/>
      <c r="J144" s="473"/>
      <c r="K144" s="473"/>
      <c r="L144" s="473"/>
      <c r="M144" s="473"/>
      <c r="N144" s="473"/>
      <c r="O144" s="473"/>
      <c r="P144" s="474"/>
      <c r="Q144" s="516"/>
    </row>
    <row r="145" spans="2:17" ht="15.75" thickBot="1" x14ac:dyDescent="0.3">
      <c r="B145" s="517"/>
      <c r="C145" s="573" t="s">
        <v>452</v>
      </c>
      <c r="D145" s="535"/>
      <c r="E145" s="535"/>
      <c r="F145" s="535"/>
      <c r="G145" s="535"/>
      <c r="H145" s="535"/>
      <c r="I145" s="1913">
        <f>'8E- 4%'!I156+'8E 9%'!I156</f>
        <v>0</v>
      </c>
      <c r="J145" s="1914">
        <f>'8E- 4%'!J156+'8E 9%'!J156</f>
        <v>0</v>
      </c>
      <c r="K145" s="1914">
        <f>'8E- 4%'!K156+'8E 9%'!K156</f>
        <v>0</v>
      </c>
      <c r="L145" s="1914">
        <f>'8E- 4%'!L156+'8E 9%'!L156</f>
        <v>0</v>
      </c>
      <c r="M145" s="1914">
        <f>'8E- 4%'!M156+'8E 9%'!M156</f>
        <v>0</v>
      </c>
      <c r="N145" s="1914">
        <f>'8E- 4%'!N156+'8E 9%'!N156</f>
        <v>0</v>
      </c>
      <c r="O145" s="1914">
        <f>'8E- 4%'!O156+'8E 9%'!O156</f>
        <v>0</v>
      </c>
      <c r="P145" s="1915">
        <f>'8E- 4%'!P156+'8E 9%'!P156</f>
        <v>0</v>
      </c>
      <c r="Q145" s="516"/>
    </row>
    <row r="146" spans="2:17" ht="16.5" thickTop="1" thickBot="1" x14ac:dyDescent="0.3">
      <c r="B146" s="517"/>
      <c r="C146" s="540" t="s">
        <v>453</v>
      </c>
      <c r="D146" s="532"/>
      <c r="E146" s="515"/>
      <c r="F146" s="532"/>
      <c r="G146" s="532"/>
      <c r="H146" s="575"/>
      <c r="I146" s="476">
        <f>I137+I141+I143+I145</f>
        <v>1147909.8627902681</v>
      </c>
      <c r="J146" s="477">
        <f t="shared" ref="J146:P146" si="21">J137+J141+J143+J145</f>
        <v>1184808.0965163526</v>
      </c>
      <c r="K146" s="477">
        <f t="shared" si="21"/>
        <v>1222924.1384124418</v>
      </c>
      <c r="L146" s="477">
        <f t="shared" si="21"/>
        <v>1262299.1044252813</v>
      </c>
      <c r="M146" s="477">
        <f t="shared" si="21"/>
        <v>1302975.5252127135</v>
      </c>
      <c r="N146" s="477">
        <f t="shared" si="21"/>
        <v>1461337.8918579379</v>
      </c>
      <c r="O146" s="477">
        <f t="shared" si="21"/>
        <v>1508822.6393302877</v>
      </c>
      <c r="P146" s="478">
        <f t="shared" si="21"/>
        <v>1557887.9421338041</v>
      </c>
      <c r="Q146" s="516"/>
    </row>
    <row r="147" spans="2:17" ht="7.5" customHeight="1" thickBot="1" x14ac:dyDescent="0.3">
      <c r="B147" s="517"/>
      <c r="C147" s="532"/>
      <c r="D147" s="532"/>
      <c r="E147" s="532"/>
      <c r="F147" s="532"/>
      <c r="G147" s="532"/>
      <c r="H147" s="532"/>
      <c r="I147" s="576"/>
      <c r="J147" s="576"/>
      <c r="K147" s="576"/>
      <c r="L147" s="576"/>
      <c r="M147" s="576"/>
      <c r="N147" s="576"/>
      <c r="O147" s="576"/>
      <c r="P147" s="576"/>
      <c r="Q147" s="516"/>
    </row>
    <row r="148" spans="2:17" ht="15.75" thickBot="1" x14ac:dyDescent="0.3">
      <c r="B148" s="517"/>
      <c r="C148" s="540" t="s">
        <v>454</v>
      </c>
      <c r="D148" s="532"/>
      <c r="E148" s="532"/>
      <c r="F148" s="532"/>
      <c r="G148" s="532"/>
      <c r="H148" s="532"/>
      <c r="I148" s="479">
        <f>I112-I146</f>
        <v>717697.12362510804</v>
      </c>
      <c r="J148" s="480">
        <f>J112-J146</f>
        <v>727439.064559408</v>
      </c>
      <c r="K148" s="480">
        <f t="shared" ref="K148:P148" si="22">K112-K146</f>
        <v>737129.20169021259</v>
      </c>
      <c r="L148" s="480">
        <f t="shared" si="22"/>
        <v>746755.56917993911</v>
      </c>
      <c r="M148" s="480">
        <f t="shared" si="22"/>
        <v>756305.51523263752</v>
      </c>
      <c r="N148" s="480">
        <f t="shared" si="22"/>
        <v>649425.17459854716</v>
      </c>
      <c r="O148" s="480">
        <f t="shared" si="22"/>
        <v>654709.50378760952</v>
      </c>
      <c r="P148" s="481">
        <f t="shared" si="22"/>
        <v>659732.50456204009</v>
      </c>
      <c r="Q148" s="516"/>
    </row>
    <row r="149" spans="2:17" x14ac:dyDescent="0.25">
      <c r="B149" s="394"/>
      <c r="C149" s="942"/>
      <c r="D149" s="942"/>
      <c r="E149" s="942"/>
      <c r="F149" s="942"/>
      <c r="G149" s="942"/>
      <c r="H149" s="942"/>
      <c r="I149" s="942"/>
      <c r="J149" s="942"/>
      <c r="K149" s="942"/>
      <c r="L149" s="942"/>
      <c r="M149" s="942"/>
      <c r="N149" s="942"/>
      <c r="O149" s="942"/>
      <c r="P149" s="942"/>
      <c r="Q149" s="944"/>
    </row>
    <row r="150" spans="2:17" ht="15.75" thickBot="1" x14ac:dyDescent="0.3">
      <c r="B150" s="394"/>
      <c r="C150" s="2473" t="s">
        <v>455</v>
      </c>
      <c r="D150" s="2473"/>
      <c r="E150" s="2473"/>
      <c r="F150" s="482"/>
      <c r="G150" s="482"/>
      <c r="H150" s="482"/>
      <c r="I150" s="482"/>
      <c r="J150" s="482"/>
      <c r="K150" s="482"/>
      <c r="L150" s="482"/>
      <c r="M150" s="1351"/>
      <c r="N150" s="1351"/>
      <c r="O150" s="1351"/>
      <c r="P150" s="1351"/>
      <c r="Q150" s="944"/>
    </row>
    <row r="151" spans="2:17" ht="15.75" thickBot="1" x14ac:dyDescent="0.3">
      <c r="B151" s="394"/>
      <c r="C151" s="589" t="s">
        <v>1405</v>
      </c>
      <c r="D151" s="524"/>
      <c r="E151" s="1208"/>
      <c r="F151" s="1208"/>
      <c r="G151" s="1208"/>
      <c r="H151" s="1208"/>
      <c r="I151" s="446" t="s">
        <v>468</v>
      </c>
      <c r="J151" s="508" t="s">
        <v>469</v>
      </c>
      <c r="K151" s="509" t="s">
        <v>470</v>
      </c>
      <c r="L151" s="509" t="s">
        <v>471</v>
      </c>
      <c r="M151" s="509" t="s">
        <v>472</v>
      </c>
      <c r="N151" s="509" t="s">
        <v>473</v>
      </c>
      <c r="O151" s="509" t="s">
        <v>474</v>
      </c>
      <c r="P151" s="510" t="s">
        <v>475</v>
      </c>
      <c r="Q151" s="944"/>
    </row>
    <row r="152" spans="2:17" x14ac:dyDescent="0.25">
      <c r="B152" s="394"/>
      <c r="C152" s="2501" t="str">
        <f>'8E- 4%'!C163:H163</f>
        <v>Lender 1 - 4% Bonds</v>
      </c>
      <c r="D152" s="2502"/>
      <c r="E152" s="2502"/>
      <c r="F152" s="2502"/>
      <c r="G152" s="2502"/>
      <c r="H152" s="2503"/>
      <c r="I152" s="1916">
        <f>'8E- 4%'!I163</f>
        <v>459280</v>
      </c>
      <c r="J152" s="1949">
        <f>'8E- 4%'!J163</f>
        <v>459280</v>
      </c>
      <c r="K152" s="1949">
        <f>'8E- 4%'!K163</f>
        <v>459280</v>
      </c>
      <c r="L152" s="1949">
        <f>'8E- 4%'!L163</f>
        <v>459280</v>
      </c>
      <c r="M152" s="1949">
        <f>'8E- 4%'!M163</f>
        <v>459280</v>
      </c>
      <c r="N152" s="1949">
        <f>'8E- 4%'!N163</f>
        <v>459280</v>
      </c>
      <c r="O152" s="1949">
        <f>'8E- 4%'!O163</f>
        <v>459280</v>
      </c>
      <c r="P152" s="1950">
        <f>'8E- 4%'!P163</f>
        <v>459280</v>
      </c>
      <c r="Q152" s="944"/>
    </row>
    <row r="153" spans="2:17" x14ac:dyDescent="0.25">
      <c r="B153" s="394"/>
      <c r="C153" s="1858">
        <f>'8E- 4%'!C164:H164</f>
        <v>0</v>
      </c>
      <c r="D153" s="1859"/>
      <c r="E153" s="1859"/>
      <c r="F153" s="1859"/>
      <c r="G153" s="1859"/>
      <c r="H153" s="1860"/>
      <c r="I153" s="1966">
        <f>'8E- 4%'!I164</f>
        <v>0</v>
      </c>
      <c r="J153" s="1967">
        <f>'8E- 4%'!J164</f>
        <v>0</v>
      </c>
      <c r="K153" s="1967">
        <f>'8E- 4%'!K164</f>
        <v>0</v>
      </c>
      <c r="L153" s="1967">
        <f>'8E- 4%'!L164</f>
        <v>0</v>
      </c>
      <c r="M153" s="1967">
        <f>'8E- 4%'!M164</f>
        <v>0</v>
      </c>
      <c r="N153" s="1967">
        <f>'8E- 4%'!N164</f>
        <v>0</v>
      </c>
      <c r="O153" s="1967">
        <f>'8E- 4%'!O164</f>
        <v>0</v>
      </c>
      <c r="P153" s="1968">
        <f>'8E- 4%'!P164</f>
        <v>0</v>
      </c>
      <c r="Q153" s="944"/>
    </row>
    <row r="154" spans="2:17" ht="15.75" thickBot="1" x14ac:dyDescent="0.3">
      <c r="B154" s="394"/>
      <c r="C154" s="2495" t="s">
        <v>460</v>
      </c>
      <c r="D154" s="2496"/>
      <c r="E154" s="2496"/>
      <c r="F154" s="2496"/>
      <c r="G154" s="2496"/>
      <c r="H154" s="2497"/>
      <c r="I154" s="1922">
        <f>'8E- 4%'!I165</f>
        <v>0</v>
      </c>
      <c r="J154" s="1953">
        <f>'8E- 4%'!J165</f>
        <v>0</v>
      </c>
      <c r="K154" s="1953">
        <f>'8E- 4%'!K165</f>
        <v>0</v>
      </c>
      <c r="L154" s="1953">
        <f>'8E- 4%'!L165</f>
        <v>0</v>
      </c>
      <c r="M154" s="1953">
        <f>'8E- 4%'!M165</f>
        <v>0</v>
      </c>
      <c r="N154" s="1953">
        <f>'8E- 4%'!N165</f>
        <v>0</v>
      </c>
      <c r="O154" s="1953">
        <f>'8E- 4%'!O165</f>
        <v>0</v>
      </c>
      <c r="P154" s="1954">
        <f>'8E- 4%'!P165</f>
        <v>0</v>
      </c>
      <c r="Q154" s="944"/>
    </row>
    <row r="155" spans="2:17" ht="3.75" customHeight="1" x14ac:dyDescent="0.25">
      <c r="B155" s="394"/>
      <c r="C155" s="1863"/>
      <c r="D155" s="1863"/>
      <c r="E155" s="1863"/>
      <c r="F155" s="1863"/>
      <c r="G155" s="1863"/>
      <c r="H155" s="1863"/>
      <c r="I155" s="1964"/>
      <c r="J155" s="1969"/>
      <c r="K155" s="1969"/>
      <c r="L155" s="1969"/>
      <c r="M155" s="1969"/>
      <c r="N155" s="1969"/>
      <c r="O155" s="1969"/>
      <c r="P155" s="1969"/>
      <c r="Q155" s="944"/>
    </row>
    <row r="156" spans="2:17" ht="15.75" thickBot="1" x14ac:dyDescent="0.3">
      <c r="B156" s="394"/>
      <c r="C156" s="1861" t="s">
        <v>1406</v>
      </c>
      <c r="D156" s="1862"/>
      <c r="E156" s="1862"/>
      <c r="F156" s="1862"/>
      <c r="G156" s="1862"/>
      <c r="H156" s="1862"/>
      <c r="I156" s="1965"/>
      <c r="J156" s="1970"/>
      <c r="K156" s="1970"/>
      <c r="L156" s="1970"/>
      <c r="M156" s="1970"/>
      <c r="N156" s="1970"/>
      <c r="O156" s="1970"/>
      <c r="P156" s="1970"/>
      <c r="Q156" s="944"/>
    </row>
    <row r="157" spans="2:17" x14ac:dyDescent="0.25">
      <c r="B157" s="394"/>
      <c r="C157" s="1858" t="str">
        <f>'8E 9%'!C163:H163</f>
        <v>Lender 1 - Permanent Loan</v>
      </c>
      <c r="D157" s="1859"/>
      <c r="E157" s="1859"/>
      <c r="F157" s="1859"/>
      <c r="G157" s="1859"/>
      <c r="H157" s="1860"/>
      <c r="I157" s="1966">
        <f>'8E 9%'!I163</f>
        <v>68005</v>
      </c>
      <c r="J157" s="1967">
        <f>'8E 9%'!J163</f>
        <v>68005</v>
      </c>
      <c r="K157" s="1967">
        <f>'8E 9%'!K163</f>
        <v>68005</v>
      </c>
      <c r="L157" s="1967">
        <f>'8E 9%'!L163</f>
        <v>68005</v>
      </c>
      <c r="M157" s="1967">
        <f>'8E 9%'!M163</f>
        <v>68005</v>
      </c>
      <c r="N157" s="1967">
        <f>'8E 9%'!N163</f>
        <v>68005</v>
      </c>
      <c r="O157" s="1967">
        <f>'8E 9%'!O163</f>
        <v>68005</v>
      </c>
      <c r="P157" s="1968">
        <f>'8E 9%'!P163</f>
        <v>68005</v>
      </c>
      <c r="Q157" s="944"/>
    </row>
    <row r="158" spans="2:17" x14ac:dyDescent="0.25">
      <c r="B158" s="394"/>
      <c r="C158" s="2498">
        <f>'8E 9%'!C164:H164</f>
        <v>0</v>
      </c>
      <c r="D158" s="2499"/>
      <c r="E158" s="2499"/>
      <c r="F158" s="2499"/>
      <c r="G158" s="2499"/>
      <c r="H158" s="2500"/>
      <c r="I158" s="1919">
        <f>'8E 9%'!I164</f>
        <v>0</v>
      </c>
      <c r="J158" s="1951">
        <f>'8E 9%'!J164</f>
        <v>0</v>
      </c>
      <c r="K158" s="1951">
        <f>'8E 9%'!K164</f>
        <v>0</v>
      </c>
      <c r="L158" s="1951">
        <f>'8E 9%'!L164</f>
        <v>0</v>
      </c>
      <c r="M158" s="1951">
        <f>'8E 9%'!M164</f>
        <v>0</v>
      </c>
      <c r="N158" s="1951">
        <f>'8E 9%'!N164</f>
        <v>0</v>
      </c>
      <c r="O158" s="1951">
        <f>'8E 9%'!O164</f>
        <v>0</v>
      </c>
      <c r="P158" s="1952">
        <f>'8E 9%'!P164</f>
        <v>0</v>
      </c>
      <c r="Q158" s="944"/>
    </row>
    <row r="159" spans="2:17" ht="15.75" thickBot="1" x14ac:dyDescent="0.3">
      <c r="B159" s="394"/>
      <c r="C159" s="2495" t="s">
        <v>460</v>
      </c>
      <c r="D159" s="2496"/>
      <c r="E159" s="2496"/>
      <c r="F159" s="2496"/>
      <c r="G159" s="2496"/>
      <c r="H159" s="2497"/>
      <c r="I159" s="1922">
        <f>'8E 9%'!I165</f>
        <v>0</v>
      </c>
      <c r="J159" s="1953">
        <f>'8E 9%'!J165</f>
        <v>0</v>
      </c>
      <c r="K159" s="1953">
        <f>'8E 9%'!K165</f>
        <v>0</v>
      </c>
      <c r="L159" s="1953">
        <f>'8E 9%'!L165</f>
        <v>0</v>
      </c>
      <c r="M159" s="1953">
        <f>'8E 9%'!M165</f>
        <v>0</v>
      </c>
      <c r="N159" s="1953">
        <f>'8E 9%'!N165</f>
        <v>0</v>
      </c>
      <c r="O159" s="1953">
        <f>'8E 9%'!O165</f>
        <v>0</v>
      </c>
      <c r="P159" s="1954">
        <f>'8E 9%'!P165</f>
        <v>0</v>
      </c>
      <c r="Q159" s="944"/>
    </row>
    <row r="160" spans="2:17" ht="15.75" thickTop="1" x14ac:dyDescent="0.25">
      <c r="B160" s="394"/>
      <c r="C160" s="1208"/>
      <c r="D160" s="1208"/>
      <c r="E160" s="1352"/>
      <c r="F160" s="1353"/>
      <c r="G160" s="1353"/>
      <c r="H160" s="1354" t="s">
        <v>461</v>
      </c>
      <c r="I160" s="483">
        <f>SUM(I152:I154)+SUM(I157:I159)</f>
        <v>527285</v>
      </c>
      <c r="J160" s="484">
        <f t="shared" ref="J160:P160" si="23">SUM(J152:J154)+SUM(J157:J159)</f>
        <v>527285</v>
      </c>
      <c r="K160" s="484">
        <f t="shared" si="23"/>
        <v>527285</v>
      </c>
      <c r="L160" s="484">
        <f t="shared" si="23"/>
        <v>527285</v>
      </c>
      <c r="M160" s="484">
        <f t="shared" si="23"/>
        <v>527285</v>
      </c>
      <c r="N160" s="484">
        <f t="shared" si="23"/>
        <v>527285</v>
      </c>
      <c r="O160" s="484">
        <f t="shared" si="23"/>
        <v>527285</v>
      </c>
      <c r="P160" s="485">
        <f t="shared" si="23"/>
        <v>527285</v>
      </c>
      <c r="Q160" s="944"/>
    </row>
    <row r="161" spans="2:17" x14ac:dyDescent="0.25">
      <c r="B161" s="394"/>
      <c r="C161" s="1208"/>
      <c r="D161" s="1208"/>
      <c r="E161" s="1208"/>
      <c r="F161" s="1825"/>
      <c r="G161" s="1825"/>
      <c r="H161" s="1825" t="s">
        <v>462</v>
      </c>
      <c r="I161" s="736">
        <f t="shared" ref="I161:P161" si="24">IFERROR(I148/I160,"$0 ")</f>
        <v>1.3611180360243664</v>
      </c>
      <c r="J161" s="731">
        <f t="shared" si="24"/>
        <v>1.3795937008627364</v>
      </c>
      <c r="K161" s="731">
        <f t="shared" si="24"/>
        <v>1.3979711193950379</v>
      </c>
      <c r="L161" s="731">
        <f t="shared" si="24"/>
        <v>1.4162275983195789</v>
      </c>
      <c r="M161" s="731">
        <f t="shared" si="24"/>
        <v>1.4343391434094228</v>
      </c>
      <c r="N161" s="731">
        <f t="shared" si="24"/>
        <v>1.2316397671061137</v>
      </c>
      <c r="O161" s="731">
        <f t="shared" si="24"/>
        <v>1.2416615374751976</v>
      </c>
      <c r="P161" s="732">
        <f t="shared" si="24"/>
        <v>1.2511876965247259</v>
      </c>
      <c r="Q161" s="944"/>
    </row>
    <row r="162" spans="2:17" ht="15.75" thickBot="1" x14ac:dyDescent="0.3">
      <c r="B162" s="394"/>
      <c r="C162" s="1208"/>
      <c r="D162" s="1208"/>
      <c r="E162" s="2491" t="s">
        <v>463</v>
      </c>
      <c r="F162" s="2491"/>
      <c r="G162" s="2491"/>
      <c r="H162" s="2492"/>
      <c r="I162" s="486">
        <f t="shared" ref="I162:P162" si="25">I148-I160</f>
        <v>190412.12362510804</v>
      </c>
      <c r="J162" s="487">
        <f t="shared" si="25"/>
        <v>200154.064559408</v>
      </c>
      <c r="K162" s="487">
        <f t="shared" si="25"/>
        <v>209844.20169021259</v>
      </c>
      <c r="L162" s="487">
        <f t="shared" si="25"/>
        <v>219470.56917993911</v>
      </c>
      <c r="M162" s="487">
        <f t="shared" si="25"/>
        <v>229020.51523263752</v>
      </c>
      <c r="N162" s="487">
        <f t="shared" si="25"/>
        <v>122140.17459854716</v>
      </c>
      <c r="O162" s="487">
        <f t="shared" si="25"/>
        <v>127424.50378760952</v>
      </c>
      <c r="P162" s="488">
        <f t="shared" si="25"/>
        <v>132447.50456204009</v>
      </c>
      <c r="Q162" s="944"/>
    </row>
    <row r="163" spans="2:17" ht="15.75" thickBot="1" x14ac:dyDescent="0.3">
      <c r="B163" s="394"/>
      <c r="C163" s="1208"/>
      <c r="D163" s="1208"/>
      <c r="E163" s="1208"/>
      <c r="F163" s="1208"/>
      <c r="G163" s="1208"/>
      <c r="H163" s="1208"/>
      <c r="I163" s="1208"/>
      <c r="J163" s="1208"/>
      <c r="K163" s="1208"/>
      <c r="L163" s="1208"/>
      <c r="M163" s="1208"/>
      <c r="N163" s="1208"/>
      <c r="O163" s="1208"/>
      <c r="P163" s="1208"/>
      <c r="Q163" s="944"/>
    </row>
    <row r="164" spans="2:17" ht="15.75" thickBot="1" x14ac:dyDescent="0.3">
      <c r="B164" s="394"/>
      <c r="C164" s="589" t="s">
        <v>464</v>
      </c>
      <c r="D164" s="1208"/>
      <c r="E164" s="762"/>
      <c r="F164" s="1208"/>
      <c r="G164" s="1208"/>
      <c r="H164" s="1208"/>
      <c r="I164" s="446" t="s">
        <v>468</v>
      </c>
      <c r="J164" s="508" t="s">
        <v>469</v>
      </c>
      <c r="K164" s="509" t="s">
        <v>470</v>
      </c>
      <c r="L164" s="509" t="s">
        <v>471</v>
      </c>
      <c r="M164" s="509" t="s">
        <v>472</v>
      </c>
      <c r="N164" s="509" t="s">
        <v>473</v>
      </c>
      <c r="O164" s="509" t="s">
        <v>474</v>
      </c>
      <c r="P164" s="510" t="s">
        <v>475</v>
      </c>
      <c r="Q164" s="944"/>
    </row>
    <row r="165" spans="2:17" ht="16.5" thickTop="1" thickBot="1" x14ac:dyDescent="0.3">
      <c r="B165" s="394"/>
      <c r="C165" s="1366"/>
      <c r="D165" s="590"/>
      <c r="E165" s="2491" t="s">
        <v>465</v>
      </c>
      <c r="F165" s="2504"/>
      <c r="G165" s="2504"/>
      <c r="H165" s="2505"/>
      <c r="I165" s="489">
        <f>'8E- 4%'!I175+'8E 9%'!I175</f>
        <v>19084.188941498593</v>
      </c>
      <c r="J165" s="490">
        <f>'8E- 4%'!J175+'8E 9%'!J175</f>
        <v>19752.135554451041</v>
      </c>
      <c r="K165" s="490">
        <f>'8E- 4%'!K175+'8E 9%'!K175</f>
        <v>20443.460298856826</v>
      </c>
      <c r="L165" s="490">
        <f>'8E- 4%'!L175+'8E 9%'!L175</f>
        <v>21158.981409316813</v>
      </c>
      <c r="M165" s="490">
        <f>'8E- 4%'!M175+'8E 9%'!M175</f>
        <v>21899.5457586429</v>
      </c>
      <c r="N165" s="490">
        <f>'8E- 4%'!N175+'8E 9%'!N175</f>
        <v>0</v>
      </c>
      <c r="O165" s="490">
        <f>'8E- 4%'!O175+'8E 9%'!O175</f>
        <v>0</v>
      </c>
      <c r="P165" s="491">
        <f>'8E- 4%'!P175+'8E 9%'!P175</f>
        <v>0</v>
      </c>
      <c r="Q165" s="944"/>
    </row>
    <row r="166" spans="2:17" ht="7.5" customHeight="1" thickBot="1" x14ac:dyDescent="0.3">
      <c r="B166" s="394"/>
      <c r="C166" s="942"/>
      <c r="D166" s="1825"/>
      <c r="E166" s="1208"/>
      <c r="F166" s="1208"/>
      <c r="G166" s="1208"/>
      <c r="H166" s="1208"/>
      <c r="I166" s="1208"/>
      <c r="J166" s="1208"/>
      <c r="K166" s="1208"/>
      <c r="L166" s="1208"/>
      <c r="M166" s="1208"/>
      <c r="N166" s="1208"/>
      <c r="O166" s="1208"/>
      <c r="P166" s="1208"/>
      <c r="Q166" s="944"/>
    </row>
    <row r="167" spans="2:17" x14ac:dyDescent="0.25">
      <c r="B167" s="394"/>
      <c r="C167" s="942"/>
      <c r="D167" s="1825"/>
      <c r="E167" s="2491" t="s">
        <v>466</v>
      </c>
      <c r="F167" s="2491"/>
      <c r="G167" s="2491"/>
      <c r="H167" s="2492"/>
      <c r="I167" s="2073">
        <f t="shared" ref="I167:P167" si="26">IFERROR(I148/(I160+I165),"$0 ")</f>
        <v>1.31357539581529</v>
      </c>
      <c r="J167" s="2074">
        <f t="shared" si="26"/>
        <v>1.3297800410242899</v>
      </c>
      <c r="K167" s="2074">
        <f t="shared" si="26"/>
        <v>1.3457931349559837</v>
      </c>
      <c r="L167" s="2074">
        <f t="shared" si="26"/>
        <v>1.3615895050229709</v>
      </c>
      <c r="M167" s="2074">
        <f t="shared" si="26"/>
        <v>1.3771427493245971</v>
      </c>
      <c r="N167" s="2074">
        <f t="shared" si="26"/>
        <v>1.2316397671061137</v>
      </c>
      <c r="O167" s="2074">
        <f t="shared" si="26"/>
        <v>1.2416615374751976</v>
      </c>
      <c r="P167" s="2075">
        <f t="shared" si="26"/>
        <v>1.2511876965247259</v>
      </c>
      <c r="Q167" s="944"/>
    </row>
    <row r="168" spans="2:17" ht="15.75" thickBot="1" x14ac:dyDescent="0.3">
      <c r="B168" s="394"/>
      <c r="C168" s="811"/>
      <c r="D168" s="1825"/>
      <c r="E168" s="2491" t="s">
        <v>467</v>
      </c>
      <c r="F168" s="2493"/>
      <c r="G168" s="2493"/>
      <c r="H168" s="2494"/>
      <c r="I168" s="1356">
        <f t="shared" ref="I168:P168" si="27">I162-I165</f>
        <v>171327.93468360946</v>
      </c>
      <c r="J168" s="1358">
        <f t="shared" si="27"/>
        <v>180401.92900495697</v>
      </c>
      <c r="K168" s="1358">
        <f t="shared" si="27"/>
        <v>189400.74139135575</v>
      </c>
      <c r="L168" s="1358">
        <f t="shared" si="27"/>
        <v>198311.58777062228</v>
      </c>
      <c r="M168" s="1358">
        <f t="shared" si="27"/>
        <v>207120.96947399463</v>
      </c>
      <c r="N168" s="1358">
        <f t="shared" si="27"/>
        <v>122140.17459854716</v>
      </c>
      <c r="O168" s="1358">
        <f t="shared" si="27"/>
        <v>127424.50378760952</v>
      </c>
      <c r="P168" s="1359">
        <f t="shared" si="27"/>
        <v>132447.50456204009</v>
      </c>
      <c r="Q168" s="944"/>
    </row>
    <row r="169" spans="2:17" ht="9" customHeight="1" thickBot="1" x14ac:dyDescent="0.3">
      <c r="B169" s="1367"/>
      <c r="C169" s="698"/>
      <c r="D169" s="698"/>
      <c r="E169" s="698"/>
      <c r="F169" s="698"/>
      <c r="G169" s="698"/>
      <c r="H169" s="698"/>
      <c r="I169" s="698"/>
      <c r="J169" s="698"/>
      <c r="K169" s="698"/>
      <c r="L169" s="698"/>
      <c r="M169" s="698"/>
      <c r="N169" s="698"/>
      <c r="O169" s="698"/>
      <c r="P169" s="698"/>
      <c r="Q169" s="1368"/>
    </row>
  </sheetData>
  <sheetProtection password="9F6B" sheet="1" objects="1" scenarios="1" formatCells="0" formatColumns="0" formatRows="0"/>
  <mergeCells count="33">
    <mergeCell ref="D101:F101"/>
    <mergeCell ref="D102:F102"/>
    <mergeCell ref="C150:E150"/>
    <mergeCell ref="F83:I83"/>
    <mergeCell ref="F85:I85"/>
    <mergeCell ref="F86:I86"/>
    <mergeCell ref="C89:P89"/>
    <mergeCell ref="E167:H167"/>
    <mergeCell ref="E168:H168"/>
    <mergeCell ref="C159:H159"/>
    <mergeCell ref="C158:H158"/>
    <mergeCell ref="C152:H152"/>
    <mergeCell ref="C154:H154"/>
    <mergeCell ref="E162:H162"/>
    <mergeCell ref="E165:H165"/>
    <mergeCell ref="C71:G71"/>
    <mergeCell ref="H71:I71"/>
    <mergeCell ref="C72:G72"/>
    <mergeCell ref="H72:I72"/>
    <mergeCell ref="F80:I80"/>
    <mergeCell ref="H82:I82"/>
    <mergeCell ref="C75:G75"/>
    <mergeCell ref="H75:I75"/>
    <mergeCell ref="C76:G76"/>
    <mergeCell ref="H76:I76"/>
    <mergeCell ref="C77:G77"/>
    <mergeCell ref="H77:I77"/>
    <mergeCell ref="D19:F19"/>
    <mergeCell ref="D20:F20"/>
    <mergeCell ref="C68:E68"/>
    <mergeCell ref="H69:I69"/>
    <mergeCell ref="C70:G70"/>
    <mergeCell ref="H70:I70"/>
  </mergeCells>
  <conditionalFormatting sqref="N9">
    <cfRule type="cellIs" dxfId="8" priority="1" operator="equal">
      <formula>"X"</formula>
    </cfRule>
    <cfRule type="cellIs" dxfId="7" priority="3" operator="equal">
      <formula>"X"</formula>
    </cfRule>
  </conditionalFormatting>
  <conditionalFormatting sqref="M9">
    <cfRule type="expression" dxfId="6" priority="2">
      <formula>$N$9&lt;&gt;""</formula>
    </cfRule>
  </conditionalFormatting>
  <pageMargins left="0.7" right="0.7" top="0.75" bottom="0.75" header="0.3" footer="0.3"/>
  <pageSetup paperSize="17" scale="95" fitToHeight="0" orientation="portrait" r:id="rId1"/>
  <headerFooter>
    <oddFooter>&amp;LForm 8E ROLLUP
Operating Pro Forma&amp;CCFA Forms&amp;REdition: 2015
Version: 1.1</oddFooter>
  </headerFooter>
  <rowBreaks count="1" manualBreakCount="1">
    <brk id="87" min="1" max="16"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Q179"/>
  <sheetViews>
    <sheetView showGridLines="0" zoomScaleNormal="100" workbookViewId="0">
      <selection activeCell="J32" sqref="J32"/>
    </sheetView>
  </sheetViews>
  <sheetFormatPr defaultRowHeight="15" x14ac:dyDescent="0.25"/>
  <cols>
    <col min="1" max="2" width="1.7109375" style="839" customWidth="1"/>
    <col min="3" max="3" width="14.28515625" style="839" customWidth="1"/>
    <col min="4" max="4" width="9.140625" style="839" customWidth="1"/>
    <col min="5" max="6" width="9.140625" style="839"/>
    <col min="7" max="7" width="1.42578125" style="839" customWidth="1"/>
    <col min="8" max="16" width="9.140625" style="839"/>
    <col min="17" max="17" width="1.7109375" style="839" customWidth="1"/>
    <col min="18" max="16384" width="9.140625" style="839"/>
  </cols>
  <sheetData>
    <row r="17" spans="2:17" ht="15.75" thickBot="1" x14ac:dyDescent="0.3"/>
    <row r="18" spans="2:17" ht="9" customHeight="1" x14ac:dyDescent="0.25">
      <c r="B18" s="511"/>
      <c r="C18" s="512"/>
      <c r="D18" s="512"/>
      <c r="E18" s="512"/>
      <c r="F18" s="512"/>
      <c r="G18" s="512"/>
      <c r="H18" s="512"/>
      <c r="I18" s="512"/>
      <c r="J18" s="512"/>
      <c r="K18" s="512"/>
      <c r="L18" s="512"/>
      <c r="M18" s="512"/>
      <c r="N18" s="512"/>
      <c r="O18" s="512"/>
      <c r="P18" s="512"/>
      <c r="Q18" s="513"/>
    </row>
    <row r="19" spans="2:17" ht="18.75" x14ac:dyDescent="0.3">
      <c r="B19" s="514"/>
      <c r="C19" s="1649" t="s">
        <v>1386</v>
      </c>
      <c r="D19" s="1658"/>
      <c r="E19" s="1658"/>
      <c r="F19" s="1658"/>
      <c r="G19" s="1658"/>
      <c r="H19" s="1658"/>
      <c r="I19" s="1658"/>
      <c r="J19" s="1658"/>
      <c r="K19" s="1658"/>
      <c r="L19" s="1658"/>
      <c r="M19" s="1658"/>
      <c r="N19" s="1658"/>
      <c r="O19" s="1658"/>
      <c r="P19" s="1658"/>
      <c r="Q19" s="516"/>
    </row>
    <row r="20" spans="2:17" x14ac:dyDescent="0.25">
      <c r="B20" s="514"/>
      <c r="C20" s="515"/>
      <c r="D20" s="515"/>
      <c r="E20" s="515"/>
      <c r="F20" s="515"/>
      <c r="G20" s="515"/>
      <c r="H20" s="515"/>
      <c r="I20" s="515"/>
      <c r="J20" s="515"/>
      <c r="K20" s="515"/>
      <c r="L20" s="515"/>
      <c r="M20" s="515"/>
      <c r="N20" s="515"/>
      <c r="O20" s="515"/>
      <c r="P20" s="515"/>
      <c r="Q20" s="516"/>
    </row>
    <row r="21" spans="2:17" x14ac:dyDescent="0.25">
      <c r="B21" s="514"/>
      <c r="C21" s="1123" t="s">
        <v>59</v>
      </c>
      <c r="D21" s="1122" t="str">
        <f>IF('1A'!G5="","Enter Project Name on Form 1A",'1A'!G5)</f>
        <v>University District Apartments</v>
      </c>
      <c r="E21" s="1122"/>
      <c r="F21" s="1122"/>
      <c r="G21" s="1122"/>
      <c r="H21" s="1122"/>
      <c r="I21" s="1122"/>
      <c r="J21" s="1122"/>
      <c r="K21" s="1208"/>
      <c r="L21" s="1208"/>
      <c r="M21" s="787" t="s">
        <v>1076</v>
      </c>
      <c r="N21" s="1325" t="s">
        <v>1441</v>
      </c>
      <c r="O21" s="1123"/>
      <c r="P21" s="1123"/>
      <c r="Q21" s="516"/>
    </row>
    <row r="22" spans="2:17" ht="3.75" customHeight="1" x14ac:dyDescent="0.25">
      <c r="B22" s="514"/>
      <c r="C22" s="1123"/>
      <c r="D22" s="1123"/>
      <c r="E22" s="1123"/>
      <c r="F22" s="1123"/>
      <c r="G22" s="1123"/>
      <c r="H22" s="1123"/>
      <c r="I22" s="1123"/>
      <c r="J22" s="1208"/>
      <c r="K22" s="1208"/>
      <c r="L22" s="1208"/>
      <c r="M22" s="1208"/>
      <c r="N22" s="1123"/>
      <c r="O22" s="1123"/>
      <c r="P22" s="1123"/>
      <c r="Q22" s="516"/>
    </row>
    <row r="23" spans="2:17" x14ac:dyDescent="0.25">
      <c r="B23" s="517"/>
      <c r="C23" s="1123" t="s">
        <v>1400</v>
      </c>
      <c r="D23" s="1822" t="str">
        <f>IF('1A'!G29="","Enter Site Name on Form 1A",'1A'!G29)</f>
        <v>Project A-  4%</v>
      </c>
      <c r="E23" s="1822"/>
      <c r="F23" s="1822"/>
      <c r="G23" s="1822"/>
      <c r="H23" s="1822"/>
      <c r="I23" s="1822"/>
      <c r="J23" s="1822"/>
      <c r="K23" s="519"/>
      <c r="M23" s="1385" t="s">
        <v>402</v>
      </c>
      <c r="N23" s="1370">
        <v>42262</v>
      </c>
      <c r="O23" s="520"/>
      <c r="P23" s="519"/>
      <c r="Q23" s="521"/>
    </row>
    <row r="24" spans="2:17" ht="7.5" customHeight="1" x14ac:dyDescent="0.25">
      <c r="B24" s="517"/>
      <c r="C24" s="522"/>
      <c r="D24" s="519"/>
      <c r="E24" s="518"/>
      <c r="F24" s="518"/>
      <c r="G24" s="518"/>
      <c r="H24" s="518"/>
      <c r="I24" s="518"/>
      <c r="J24" s="519"/>
      <c r="K24" s="519"/>
      <c r="L24" s="519"/>
      <c r="M24" s="519"/>
      <c r="N24" s="519"/>
      <c r="O24" s="520"/>
      <c r="P24" s="519"/>
      <c r="Q24" s="521"/>
    </row>
    <row r="25" spans="2:17" ht="15.75" thickBot="1" x14ac:dyDescent="0.3">
      <c r="B25" s="523"/>
      <c r="C25" s="592" t="s">
        <v>403</v>
      </c>
      <c r="D25" s="443"/>
      <c r="E25" s="444"/>
      <c r="F25" s="444"/>
      <c r="G25" s="444"/>
      <c r="H25" s="444"/>
      <c r="I25" s="444"/>
      <c r="J25" s="443"/>
      <c r="K25" s="443"/>
      <c r="L25" s="443"/>
      <c r="M25" s="443"/>
      <c r="N25" s="443"/>
      <c r="O25" s="445"/>
      <c r="P25" s="443"/>
      <c r="Q25" s="525"/>
    </row>
    <row r="26" spans="2:17" ht="15.75" thickBot="1" x14ac:dyDescent="0.3">
      <c r="B26" s="394"/>
      <c r="C26" s="1208"/>
      <c r="D26" s="515"/>
      <c r="E26" s="1208"/>
      <c r="F26" s="1208"/>
      <c r="G26" s="1208"/>
      <c r="H26" s="1208"/>
      <c r="I26" s="1208"/>
      <c r="J26" s="446" t="s">
        <v>404</v>
      </c>
      <c r="K26" s="447" t="s">
        <v>405</v>
      </c>
      <c r="L26" s="447" t="s">
        <v>406</v>
      </c>
      <c r="M26" s="447" t="s">
        <v>407</v>
      </c>
      <c r="N26" s="447" t="s">
        <v>408</v>
      </c>
      <c r="O26" s="447" t="s">
        <v>409</v>
      </c>
      <c r="P26" s="448" t="s">
        <v>410</v>
      </c>
      <c r="Q26" s="355"/>
    </row>
    <row r="27" spans="2:17" ht="15.75" thickBot="1" x14ac:dyDescent="0.3">
      <c r="B27" s="394"/>
      <c r="C27" s="524" t="s">
        <v>411</v>
      </c>
      <c r="D27" s="354"/>
      <c r="E27" s="1208"/>
      <c r="F27" s="1208"/>
      <c r="G27" s="1208"/>
      <c r="H27" s="449" t="s">
        <v>412</v>
      </c>
      <c r="I27" s="1208"/>
      <c r="J27" s="450"/>
      <c r="K27" s="451"/>
      <c r="L27" s="451"/>
      <c r="M27" s="451"/>
      <c r="N27" s="451"/>
      <c r="O27" s="451"/>
      <c r="P27" s="452"/>
      <c r="Q27" s="355"/>
    </row>
    <row r="28" spans="2:17" x14ac:dyDescent="0.25">
      <c r="B28" s="394"/>
      <c r="C28" s="526" t="s">
        <v>413</v>
      </c>
      <c r="D28" s="1327"/>
      <c r="E28" s="1327"/>
      <c r="F28" s="1327"/>
      <c r="G28" s="1328"/>
      <c r="H28" s="1659">
        <v>2.5000000000000001E-2</v>
      </c>
      <c r="I28" s="1329"/>
      <c r="J28" s="2046">
        <f>'8A - 4%'!L25</f>
        <v>1003764</v>
      </c>
      <c r="K28" s="527">
        <f t="shared" ref="K28:P29" si="0">J28+(J28*$H28)</f>
        <v>1028858.1</v>
      </c>
      <c r="L28" s="527">
        <f t="shared" si="0"/>
        <v>1054579.5525</v>
      </c>
      <c r="M28" s="527">
        <f t="shared" si="0"/>
        <v>1080944.0413124999</v>
      </c>
      <c r="N28" s="527">
        <f t="shared" si="0"/>
        <v>1107967.6423453125</v>
      </c>
      <c r="O28" s="527">
        <f t="shared" si="0"/>
        <v>1135666.8334039454</v>
      </c>
      <c r="P28" s="528">
        <f t="shared" si="0"/>
        <v>1164058.5042390442</v>
      </c>
      <c r="Q28" s="355"/>
    </row>
    <row r="29" spans="2:17" ht="15.75" thickBot="1" x14ac:dyDescent="0.3">
      <c r="B29" s="394"/>
      <c r="C29" s="529" t="s">
        <v>361</v>
      </c>
      <c r="D29" s="530"/>
      <c r="E29" s="1330"/>
      <c r="F29" s="1330"/>
      <c r="G29" s="1331"/>
      <c r="H29" s="1660">
        <v>2.5000000000000001E-2</v>
      </c>
      <c r="I29" s="1332"/>
      <c r="J29" s="2047">
        <f>'8A - 4%'!M25</f>
        <v>0</v>
      </c>
      <c r="K29" s="527">
        <f t="shared" si="0"/>
        <v>0</v>
      </c>
      <c r="L29" s="527">
        <f t="shared" si="0"/>
        <v>0</v>
      </c>
      <c r="M29" s="527">
        <f t="shared" si="0"/>
        <v>0</v>
      </c>
      <c r="N29" s="527">
        <f t="shared" si="0"/>
        <v>0</v>
      </c>
      <c r="O29" s="527">
        <f t="shared" si="0"/>
        <v>0</v>
      </c>
      <c r="P29" s="528">
        <f t="shared" si="0"/>
        <v>0</v>
      </c>
      <c r="Q29" s="355"/>
    </row>
    <row r="30" spans="2:17" ht="15.75" thickBot="1" x14ac:dyDescent="0.3">
      <c r="B30" s="394"/>
      <c r="C30" s="529" t="s">
        <v>371</v>
      </c>
      <c r="D30" s="531"/>
      <c r="E30" s="1333"/>
      <c r="F30" s="1333"/>
      <c r="G30" s="354"/>
      <c r="H30" s="1334"/>
      <c r="I30" s="1331"/>
      <c r="J30" s="2048">
        <f>'8B - 4%'!H32</f>
        <v>0</v>
      </c>
      <c r="K30" s="527">
        <v>0</v>
      </c>
      <c r="L30" s="527">
        <v>0</v>
      </c>
      <c r="M30" s="527">
        <v>0</v>
      </c>
      <c r="N30" s="527">
        <v>0</v>
      </c>
      <c r="O30" s="527">
        <v>0</v>
      </c>
      <c r="P30" s="528">
        <v>0</v>
      </c>
      <c r="Q30" s="355"/>
    </row>
    <row r="31" spans="2:17" x14ac:dyDescent="0.25">
      <c r="B31" s="394"/>
      <c r="C31" s="529" t="s">
        <v>414</v>
      </c>
      <c r="D31" s="2535" t="s">
        <v>1577</v>
      </c>
      <c r="E31" s="2536"/>
      <c r="F31" s="2537"/>
      <c r="G31" s="354"/>
      <c r="H31" s="1659">
        <v>2.5000000000000001E-2</v>
      </c>
      <c r="I31" s="1332"/>
      <c r="J31" s="1662">
        <v>10000</v>
      </c>
      <c r="K31" s="527">
        <f t="shared" ref="K31:P31" si="1">J31+(J31*$H31)</f>
        <v>10250</v>
      </c>
      <c r="L31" s="527">
        <f t="shared" si="1"/>
        <v>10506.25</v>
      </c>
      <c r="M31" s="527">
        <f t="shared" si="1"/>
        <v>10768.90625</v>
      </c>
      <c r="N31" s="527">
        <f t="shared" si="1"/>
        <v>11038.12890625</v>
      </c>
      <c r="O31" s="527">
        <f t="shared" si="1"/>
        <v>11314.08212890625</v>
      </c>
      <c r="P31" s="528">
        <f t="shared" si="1"/>
        <v>11596.934182128905</v>
      </c>
      <c r="Q31" s="355"/>
    </row>
    <row r="32" spans="2:17" ht="15.75" thickBot="1" x14ac:dyDescent="0.3">
      <c r="B32" s="394"/>
      <c r="C32" s="529" t="s">
        <v>414</v>
      </c>
      <c r="D32" s="2535" t="s">
        <v>1670</v>
      </c>
      <c r="E32" s="2536"/>
      <c r="F32" s="2537"/>
      <c r="G32" s="354"/>
      <c r="H32" s="1661">
        <v>2.5000000000000001E-2</v>
      </c>
      <c r="I32" s="1332"/>
      <c r="J32" s="1663">
        <f>6000+12290</f>
        <v>18290</v>
      </c>
      <c r="K32" s="527">
        <f t="shared" ref="K32:P32" si="2">J32+(J32*$H32)</f>
        <v>18747.25</v>
      </c>
      <c r="L32" s="527">
        <f t="shared" si="2"/>
        <v>19215.931250000001</v>
      </c>
      <c r="M32" s="527">
        <f t="shared" si="2"/>
        <v>19696.329531250001</v>
      </c>
      <c r="N32" s="527">
        <f t="shared" si="2"/>
        <v>20188.73776953125</v>
      </c>
      <c r="O32" s="527">
        <f t="shared" si="2"/>
        <v>20693.456213769532</v>
      </c>
      <c r="P32" s="528">
        <f t="shared" si="2"/>
        <v>21210.79261911377</v>
      </c>
      <c r="Q32" s="355"/>
    </row>
    <row r="33" spans="2:17" x14ac:dyDescent="0.25">
      <c r="B33" s="394"/>
      <c r="C33" s="532" t="s">
        <v>415</v>
      </c>
      <c r="D33" s="1208"/>
      <c r="E33" s="1208"/>
      <c r="F33" s="1208"/>
      <c r="G33" s="1208"/>
      <c r="H33" s="1208"/>
      <c r="I33" s="533" t="s">
        <v>416</v>
      </c>
      <c r="J33" s="453">
        <f>SUM(J28:J32)</f>
        <v>1032054</v>
      </c>
      <c r="K33" s="454">
        <f t="shared" ref="K33:P33" si="3">SUM(K28:K32)</f>
        <v>1057855.3500000001</v>
      </c>
      <c r="L33" s="454">
        <f t="shared" si="3"/>
        <v>1084301.7337499999</v>
      </c>
      <c r="M33" s="454">
        <f t="shared" si="3"/>
        <v>1111409.27709375</v>
      </c>
      <c r="N33" s="454">
        <f t="shared" si="3"/>
        <v>1139194.5090210938</v>
      </c>
      <c r="O33" s="454">
        <f t="shared" si="3"/>
        <v>1167674.3717466211</v>
      </c>
      <c r="P33" s="455">
        <f t="shared" si="3"/>
        <v>1196866.2310402868</v>
      </c>
      <c r="Q33" s="355"/>
    </row>
    <row r="34" spans="2:17" x14ac:dyDescent="0.25">
      <c r="B34" s="394"/>
      <c r="C34" s="532"/>
      <c r="D34" s="533"/>
      <c r="E34" s="1208"/>
      <c r="F34" s="1208"/>
      <c r="G34" s="1208"/>
      <c r="H34" s="1208"/>
      <c r="I34" s="1208"/>
      <c r="J34" s="456"/>
      <c r="K34" s="457"/>
      <c r="L34" s="457"/>
      <c r="M34" s="457"/>
      <c r="N34" s="457"/>
      <c r="O34" s="457"/>
      <c r="P34" s="458"/>
      <c r="Q34" s="355"/>
    </row>
    <row r="35" spans="2:17" x14ac:dyDescent="0.25">
      <c r="B35" s="394"/>
      <c r="C35" s="532" t="s">
        <v>417</v>
      </c>
      <c r="D35" s="534"/>
      <c r="E35" s="1208"/>
      <c r="F35" s="1208"/>
      <c r="G35" s="1208"/>
      <c r="H35" s="1335"/>
      <c r="I35" s="354"/>
      <c r="J35" s="2049">
        <f>'8B - 4%'!H40</f>
        <v>0</v>
      </c>
      <c r="K35" s="1664">
        <v>0</v>
      </c>
      <c r="L35" s="1664">
        <v>0</v>
      </c>
      <c r="M35" s="1664">
        <v>0</v>
      </c>
      <c r="N35" s="1664">
        <v>0</v>
      </c>
      <c r="O35" s="1664">
        <v>0</v>
      </c>
      <c r="P35" s="1665">
        <v>0</v>
      </c>
      <c r="Q35" s="355"/>
    </row>
    <row r="36" spans="2:17" x14ac:dyDescent="0.25">
      <c r="B36" s="394"/>
      <c r="C36" s="532"/>
      <c r="D36" s="534"/>
      <c r="E36" s="1208"/>
      <c r="F36" s="1208"/>
      <c r="G36" s="1208"/>
      <c r="H36" s="1208"/>
      <c r="I36" s="1208"/>
      <c r="J36" s="456"/>
      <c r="K36" s="457"/>
      <c r="L36" s="457"/>
      <c r="M36" s="457"/>
      <c r="N36" s="457"/>
      <c r="O36" s="457"/>
      <c r="P36" s="458"/>
      <c r="Q36" s="355"/>
    </row>
    <row r="37" spans="2:17" ht="15.75" thickBot="1" x14ac:dyDescent="0.3">
      <c r="B37" s="394"/>
      <c r="C37" s="535" t="s">
        <v>418</v>
      </c>
      <c r="D37" s="536"/>
      <c r="E37" s="1336"/>
      <c r="F37" s="1336"/>
      <c r="G37" s="1336"/>
      <c r="H37" s="1337"/>
      <c r="I37" s="1338"/>
      <c r="J37" s="1666">
        <v>0</v>
      </c>
      <c r="K37" s="1667">
        <v>0</v>
      </c>
      <c r="L37" s="1667">
        <v>0</v>
      </c>
      <c r="M37" s="1667">
        <v>0</v>
      </c>
      <c r="N37" s="1667">
        <v>0</v>
      </c>
      <c r="O37" s="1667">
        <v>0</v>
      </c>
      <c r="P37" s="1668">
        <v>0</v>
      </c>
      <c r="Q37" s="355"/>
    </row>
    <row r="38" spans="2:17" ht="15.75" thickTop="1" x14ac:dyDescent="0.25">
      <c r="B38" s="394"/>
      <c r="C38" s="524" t="s">
        <v>419</v>
      </c>
      <c r="D38" s="1208"/>
      <c r="E38" s="1208"/>
      <c r="F38" s="1208"/>
      <c r="G38" s="1208"/>
      <c r="H38" s="1208"/>
      <c r="I38" s="534" t="s">
        <v>416</v>
      </c>
      <c r="J38" s="459">
        <f>J33+J35+J37</f>
        <v>1032054</v>
      </c>
      <c r="K38" s="460">
        <f t="shared" ref="K38:P38" si="4">K33+K35+K37</f>
        <v>1057855.3500000001</v>
      </c>
      <c r="L38" s="460">
        <f t="shared" si="4"/>
        <v>1084301.7337499999</v>
      </c>
      <c r="M38" s="460">
        <f t="shared" si="4"/>
        <v>1111409.27709375</v>
      </c>
      <c r="N38" s="460">
        <f t="shared" si="4"/>
        <v>1139194.5090210938</v>
      </c>
      <c r="O38" s="460">
        <f t="shared" si="4"/>
        <v>1167674.3717466211</v>
      </c>
      <c r="P38" s="461">
        <f t="shared" si="4"/>
        <v>1196866.2310402868</v>
      </c>
      <c r="Q38" s="355"/>
    </row>
    <row r="39" spans="2:17" ht="15.75" thickBot="1" x14ac:dyDescent="0.3">
      <c r="B39" s="394"/>
      <c r="C39" s="524"/>
      <c r="D39" s="1208"/>
      <c r="E39" s="1208"/>
      <c r="F39" s="1208"/>
      <c r="G39" s="1208"/>
      <c r="H39" s="537" t="s">
        <v>420</v>
      </c>
      <c r="I39" s="1208"/>
      <c r="J39" s="456"/>
      <c r="K39" s="457"/>
      <c r="L39" s="457"/>
      <c r="M39" s="457"/>
      <c r="N39" s="457"/>
      <c r="O39" s="457"/>
      <c r="P39" s="458"/>
      <c r="Q39" s="355"/>
    </row>
    <row r="40" spans="2:17" x14ac:dyDescent="0.25">
      <c r="B40" s="394"/>
      <c r="C40" s="538" t="s">
        <v>421</v>
      </c>
      <c r="D40" s="1327"/>
      <c r="E40" s="1327"/>
      <c r="F40" s="1327"/>
      <c r="G40" s="1328"/>
      <c r="H40" s="1659">
        <v>0.05</v>
      </c>
      <c r="I40" s="1329"/>
      <c r="J40" s="1339">
        <f>-J33*$H40</f>
        <v>-51602.700000000004</v>
      </c>
      <c r="K40" s="1340">
        <f t="shared" ref="K40:P40" si="5">-K33*$H40</f>
        <v>-52892.767500000009</v>
      </c>
      <c r="L40" s="1340">
        <f t="shared" si="5"/>
        <v>-54215.086687499999</v>
      </c>
      <c r="M40" s="1340">
        <f t="shared" si="5"/>
        <v>-55570.463854687499</v>
      </c>
      <c r="N40" s="1340">
        <f t="shared" si="5"/>
        <v>-56959.725451054692</v>
      </c>
      <c r="O40" s="1340">
        <f t="shared" si="5"/>
        <v>-58383.718587331059</v>
      </c>
      <c r="P40" s="1341">
        <f t="shared" si="5"/>
        <v>-59843.311552014347</v>
      </c>
      <c r="Q40" s="355"/>
    </row>
    <row r="41" spans="2:17" ht="15.75" thickBot="1" x14ac:dyDescent="0.3">
      <c r="B41" s="394"/>
      <c r="C41" s="539" t="s">
        <v>422</v>
      </c>
      <c r="D41" s="1336"/>
      <c r="E41" s="1336"/>
      <c r="F41" s="1336"/>
      <c r="G41" s="1336"/>
      <c r="H41" s="1669">
        <v>0.1</v>
      </c>
      <c r="I41" s="1342"/>
      <c r="J41" s="1343">
        <f>-J37*$H41</f>
        <v>0</v>
      </c>
      <c r="K41" s="1344">
        <f t="shared" ref="K41:P41" si="6">-K37*$H41</f>
        <v>0</v>
      </c>
      <c r="L41" s="1344">
        <f t="shared" si="6"/>
        <v>0</v>
      </c>
      <c r="M41" s="1344">
        <f t="shared" si="6"/>
        <v>0</v>
      </c>
      <c r="N41" s="1344">
        <f t="shared" si="6"/>
        <v>0</v>
      </c>
      <c r="O41" s="1344">
        <f t="shared" si="6"/>
        <v>0</v>
      </c>
      <c r="P41" s="1345">
        <f t="shared" si="6"/>
        <v>0</v>
      </c>
      <c r="Q41" s="355"/>
    </row>
    <row r="42" spans="2:17" ht="16.5" thickTop="1" thickBot="1" x14ac:dyDescent="0.3">
      <c r="B42" s="394"/>
      <c r="C42" s="540" t="s">
        <v>423</v>
      </c>
      <c r="D42" s="1208"/>
      <c r="E42" s="1208"/>
      <c r="F42" s="1208"/>
      <c r="G42" s="1208"/>
      <c r="H42" s="1208"/>
      <c r="I42" s="533" t="s">
        <v>416</v>
      </c>
      <c r="J42" s="1714">
        <f>J38+J40+J41</f>
        <v>980451.3</v>
      </c>
      <c r="K42" s="1715">
        <f t="shared" ref="K42:P42" si="7">K38+K40+K41</f>
        <v>1004962.5825000001</v>
      </c>
      <c r="L42" s="1715">
        <f t="shared" si="7"/>
        <v>1030086.6470624999</v>
      </c>
      <c r="M42" s="1715">
        <f t="shared" si="7"/>
        <v>1055838.8132390624</v>
      </c>
      <c r="N42" s="1715">
        <f t="shared" si="7"/>
        <v>1082234.7835700391</v>
      </c>
      <c r="O42" s="1715">
        <f t="shared" si="7"/>
        <v>1109290.6531592901</v>
      </c>
      <c r="P42" s="1716">
        <f t="shared" si="7"/>
        <v>1137022.9194882724</v>
      </c>
      <c r="Q42" s="355"/>
    </row>
    <row r="43" spans="2:17" ht="7.5" customHeight="1" x14ac:dyDescent="0.25">
      <c r="B43" s="394"/>
      <c r="C43" s="354"/>
      <c r="D43" s="354"/>
      <c r="E43" s="1208"/>
      <c r="F43" s="1208"/>
      <c r="G43" s="1208"/>
      <c r="H43" s="1208"/>
      <c r="I43" s="1208"/>
      <c r="J43" s="354"/>
      <c r="K43" s="354"/>
      <c r="L43" s="354"/>
      <c r="M43" s="354"/>
      <c r="N43" s="354"/>
      <c r="O43" s="354"/>
      <c r="P43" s="354"/>
      <c r="Q43" s="355"/>
    </row>
    <row r="44" spans="2:17" ht="15.75" thickBot="1" x14ac:dyDescent="0.3">
      <c r="B44" s="517"/>
      <c r="C44" s="593" t="s">
        <v>424</v>
      </c>
      <c r="D44" s="463"/>
      <c r="E44" s="463"/>
      <c r="F44" s="463"/>
      <c r="G44" s="463"/>
      <c r="H44" s="463"/>
      <c r="I44" s="463"/>
      <c r="J44" s="463"/>
      <c r="K44" s="463"/>
      <c r="L44" s="463"/>
      <c r="M44" s="464"/>
      <c r="N44" s="463"/>
      <c r="O44" s="463"/>
      <c r="P44" s="463"/>
      <c r="Q44" s="521"/>
    </row>
    <row r="45" spans="2:17" ht="36.75" thickBot="1" x14ac:dyDescent="0.3">
      <c r="B45" s="517"/>
      <c r="C45" s="524" t="s">
        <v>425</v>
      </c>
      <c r="D45" s="515"/>
      <c r="E45" s="532"/>
      <c r="F45" s="541" t="s">
        <v>412</v>
      </c>
      <c r="G45" s="542"/>
      <c r="H45" s="518"/>
      <c r="I45" s="465" t="s">
        <v>426</v>
      </c>
      <c r="J45" s="446" t="s">
        <v>404</v>
      </c>
      <c r="K45" s="447" t="s">
        <v>405</v>
      </c>
      <c r="L45" s="447" t="s">
        <v>406</v>
      </c>
      <c r="M45" s="447" t="s">
        <v>407</v>
      </c>
      <c r="N45" s="447" t="s">
        <v>408</v>
      </c>
      <c r="O45" s="447" t="s">
        <v>409</v>
      </c>
      <c r="P45" s="448" t="s">
        <v>410</v>
      </c>
      <c r="Q45" s="516"/>
    </row>
    <row r="46" spans="2:17" x14ac:dyDescent="0.25">
      <c r="B46" s="517"/>
      <c r="C46" s="543" t="s">
        <v>427</v>
      </c>
      <c r="D46" s="544"/>
      <c r="E46" s="545"/>
      <c r="F46" s="1659">
        <v>3.5000000000000003E-2</v>
      </c>
      <c r="G46" s="1346"/>
      <c r="H46" s="546"/>
      <c r="I46" s="466">
        <f>IFERROR(J46/'1B - 4%'!$L$23,"")</f>
        <v>1201.4081249999999</v>
      </c>
      <c r="J46" s="547">
        <f>'8C - 4%'!K22</f>
        <v>96112.65</v>
      </c>
      <c r="K46" s="548">
        <f t="shared" ref="K46:P46" si="8">J46+(J46*$F46)</f>
        <v>99476.592749999996</v>
      </c>
      <c r="L46" s="548">
        <f t="shared" si="8"/>
        <v>102958.27349625</v>
      </c>
      <c r="M46" s="548">
        <f t="shared" si="8"/>
        <v>106561.81306861875</v>
      </c>
      <c r="N46" s="548">
        <f t="shared" si="8"/>
        <v>110291.4765260204</v>
      </c>
      <c r="O46" s="548">
        <f t="shared" si="8"/>
        <v>114151.67820443111</v>
      </c>
      <c r="P46" s="549">
        <f t="shared" si="8"/>
        <v>118146.9869415862</v>
      </c>
      <c r="Q46" s="516"/>
    </row>
    <row r="47" spans="2:17" x14ac:dyDescent="0.25">
      <c r="B47" s="550"/>
      <c r="C47" s="551" t="s">
        <v>428</v>
      </c>
      <c r="D47" s="552"/>
      <c r="E47" s="553"/>
      <c r="F47" s="1670">
        <v>2.5000000000000001E-2</v>
      </c>
      <c r="G47" s="1347"/>
      <c r="H47" s="554"/>
      <c r="I47" s="467">
        <f>IFERROR(J47/'1B - 4%'!$L$23,"")</f>
        <v>734.9</v>
      </c>
      <c r="J47" s="555">
        <v>58792</v>
      </c>
      <c r="K47" s="556">
        <f t="shared" ref="K47:P47" si="9">J47+(J47*$F47)</f>
        <v>60261.8</v>
      </c>
      <c r="L47" s="556">
        <f t="shared" si="9"/>
        <v>61768.345000000001</v>
      </c>
      <c r="M47" s="556">
        <f t="shared" si="9"/>
        <v>63312.553625</v>
      </c>
      <c r="N47" s="556">
        <f t="shared" si="9"/>
        <v>64895.367465625</v>
      </c>
      <c r="O47" s="556">
        <f t="shared" si="9"/>
        <v>66517.751652265622</v>
      </c>
      <c r="P47" s="557">
        <f t="shared" si="9"/>
        <v>68180.695443572258</v>
      </c>
      <c r="Q47" s="516"/>
    </row>
    <row r="48" spans="2:17" x14ac:dyDescent="0.25">
      <c r="B48" s="517"/>
      <c r="C48" s="551" t="s">
        <v>429</v>
      </c>
      <c r="D48" s="552"/>
      <c r="E48" s="553"/>
      <c r="F48" s="1670">
        <v>3.5000000000000003E-2</v>
      </c>
      <c r="G48" s="1347"/>
      <c r="H48" s="554"/>
      <c r="I48" s="467">
        <f>IFERROR(J48/'1B - 4%'!$L$23,"")</f>
        <v>106.25</v>
      </c>
      <c r="J48" s="555">
        <v>8500</v>
      </c>
      <c r="K48" s="556">
        <f t="shared" ref="K48:P48" si="10">J48+(J48*$F48)</f>
        <v>8797.5</v>
      </c>
      <c r="L48" s="556">
        <f t="shared" si="10"/>
        <v>9105.4125000000004</v>
      </c>
      <c r="M48" s="556">
        <f t="shared" si="10"/>
        <v>9424.1019374999996</v>
      </c>
      <c r="N48" s="556">
        <f t="shared" si="10"/>
        <v>9753.9455053125002</v>
      </c>
      <c r="O48" s="556">
        <f t="shared" si="10"/>
        <v>10095.333597998439</v>
      </c>
      <c r="P48" s="557">
        <f t="shared" si="10"/>
        <v>10448.670273928385</v>
      </c>
      <c r="Q48" s="516"/>
    </row>
    <row r="49" spans="2:17" x14ac:dyDescent="0.25">
      <c r="B49" s="517"/>
      <c r="C49" s="551" t="s">
        <v>430</v>
      </c>
      <c r="D49" s="553"/>
      <c r="E49" s="552"/>
      <c r="F49" s="1670">
        <v>3.5000000000000003E-2</v>
      </c>
      <c r="G49" s="1347"/>
      <c r="H49" s="554"/>
      <c r="I49" s="467">
        <f>IFERROR(J49/'1B - 4%'!$L$23,"")</f>
        <v>20</v>
      </c>
      <c r="J49" s="555">
        <v>1600</v>
      </c>
      <c r="K49" s="556">
        <f t="shared" ref="K49:P49" si="11">J49+(J49*$F49)</f>
        <v>1656</v>
      </c>
      <c r="L49" s="556">
        <f t="shared" si="11"/>
        <v>1713.96</v>
      </c>
      <c r="M49" s="556">
        <f t="shared" si="11"/>
        <v>1773.9485999999999</v>
      </c>
      <c r="N49" s="556">
        <f t="shared" si="11"/>
        <v>1836.036801</v>
      </c>
      <c r="O49" s="556">
        <f t="shared" si="11"/>
        <v>1900.298089035</v>
      </c>
      <c r="P49" s="557">
        <f t="shared" si="11"/>
        <v>1966.8085221512249</v>
      </c>
      <c r="Q49" s="516"/>
    </row>
    <row r="50" spans="2:17" x14ac:dyDescent="0.25">
      <c r="B50" s="517"/>
      <c r="C50" s="551" t="s">
        <v>431</v>
      </c>
      <c r="D50" s="552"/>
      <c r="E50" s="553"/>
      <c r="F50" s="1670">
        <v>3.5000000000000003E-2</v>
      </c>
      <c r="G50" s="1347"/>
      <c r="H50" s="554"/>
      <c r="I50" s="467">
        <f>IFERROR(J50/'1B - 4%'!$L$23,"")</f>
        <v>300</v>
      </c>
      <c r="J50" s="555">
        <v>24000</v>
      </c>
      <c r="K50" s="556">
        <f t="shared" ref="K50:P50" si="12">J50+(J50*$F50)</f>
        <v>24840</v>
      </c>
      <c r="L50" s="556">
        <f t="shared" si="12"/>
        <v>25709.4</v>
      </c>
      <c r="M50" s="556">
        <f t="shared" si="12"/>
        <v>26609.229000000003</v>
      </c>
      <c r="N50" s="556">
        <f t="shared" si="12"/>
        <v>27540.552015000005</v>
      </c>
      <c r="O50" s="556">
        <f t="shared" si="12"/>
        <v>28504.471335525006</v>
      </c>
      <c r="P50" s="557">
        <f t="shared" si="12"/>
        <v>29502.127832268383</v>
      </c>
      <c r="Q50" s="516"/>
    </row>
    <row r="51" spans="2:17" x14ac:dyDescent="0.25">
      <c r="B51" s="517"/>
      <c r="C51" s="551" t="s">
        <v>432</v>
      </c>
      <c r="D51" s="552"/>
      <c r="E51" s="553"/>
      <c r="F51" s="1670">
        <v>3.5000000000000003E-2</v>
      </c>
      <c r="G51" s="1347"/>
      <c r="H51" s="554"/>
      <c r="I51" s="467">
        <f>IFERROR(J51/'1B - 4%'!$L$23,"")</f>
        <v>237.72499999999999</v>
      </c>
      <c r="J51" s="555">
        <v>19018</v>
      </c>
      <c r="K51" s="556">
        <f t="shared" ref="K51:P51" si="13">J51+(J51*$F51)</f>
        <v>19683.63</v>
      </c>
      <c r="L51" s="556">
        <f t="shared" si="13"/>
        <v>20372.557049999999</v>
      </c>
      <c r="M51" s="556">
        <f t="shared" si="13"/>
        <v>21085.596546749999</v>
      </c>
      <c r="N51" s="556">
        <f t="shared" si="13"/>
        <v>21823.592425886251</v>
      </c>
      <c r="O51" s="556">
        <f t="shared" si="13"/>
        <v>22587.418160792269</v>
      </c>
      <c r="P51" s="557">
        <f t="shared" si="13"/>
        <v>23377.97779642</v>
      </c>
      <c r="Q51" s="516"/>
    </row>
    <row r="52" spans="2:17" x14ac:dyDescent="0.25">
      <c r="B52" s="517"/>
      <c r="C52" s="551" t="s">
        <v>433</v>
      </c>
      <c r="D52" s="552"/>
      <c r="E52" s="553"/>
      <c r="F52" s="1670">
        <v>3.5000000000000003E-2</v>
      </c>
      <c r="G52" s="1347"/>
      <c r="H52" s="554"/>
      <c r="I52" s="467">
        <f>IFERROR(J52/'1B - 4%'!$L$23,"")</f>
        <v>9.0250000000000004</v>
      </c>
      <c r="J52" s="555">
        <v>722</v>
      </c>
      <c r="K52" s="556">
        <f t="shared" ref="K52:P52" si="14">J52+(J52*$F52)</f>
        <v>747.27</v>
      </c>
      <c r="L52" s="556">
        <f t="shared" si="14"/>
        <v>773.42444999999998</v>
      </c>
      <c r="M52" s="556">
        <f t="shared" si="14"/>
        <v>800.49430574999997</v>
      </c>
      <c r="N52" s="556">
        <f t="shared" si="14"/>
        <v>828.51160645124992</v>
      </c>
      <c r="O52" s="556">
        <f t="shared" si="14"/>
        <v>857.50951267704363</v>
      </c>
      <c r="P52" s="557">
        <f t="shared" si="14"/>
        <v>887.52234562074011</v>
      </c>
      <c r="Q52" s="516"/>
    </row>
    <row r="53" spans="2:17" x14ac:dyDescent="0.25">
      <c r="B53" s="517"/>
      <c r="C53" s="551" t="s">
        <v>434</v>
      </c>
      <c r="D53" s="553"/>
      <c r="E53" s="552"/>
      <c r="F53" s="1670">
        <v>3.5000000000000003E-2</v>
      </c>
      <c r="G53" s="1347"/>
      <c r="H53" s="554"/>
      <c r="I53" s="467">
        <f>IFERROR(J53/'1B - 4%'!$L$23,"")</f>
        <v>0</v>
      </c>
      <c r="J53" s="555">
        <v>0</v>
      </c>
      <c r="K53" s="556">
        <f t="shared" ref="K53:P53" si="15">J53+(J53*$F53)</f>
        <v>0</v>
      </c>
      <c r="L53" s="556">
        <f t="shared" si="15"/>
        <v>0</v>
      </c>
      <c r="M53" s="556">
        <f t="shared" si="15"/>
        <v>0</v>
      </c>
      <c r="N53" s="556">
        <f t="shared" si="15"/>
        <v>0</v>
      </c>
      <c r="O53" s="556">
        <f t="shared" si="15"/>
        <v>0</v>
      </c>
      <c r="P53" s="557">
        <f t="shared" si="15"/>
        <v>0</v>
      </c>
      <c r="Q53" s="516"/>
    </row>
    <row r="54" spans="2:17" x14ac:dyDescent="0.25">
      <c r="B54" s="517"/>
      <c r="C54" s="551" t="s">
        <v>435</v>
      </c>
      <c r="D54" s="552"/>
      <c r="E54" s="553"/>
      <c r="F54" s="1670">
        <v>3.5000000000000003E-2</v>
      </c>
      <c r="G54" s="1347"/>
      <c r="H54" s="554"/>
      <c r="I54" s="467">
        <f>IFERROR(J54/'1B - 4%'!$L$23,"")</f>
        <v>90</v>
      </c>
      <c r="J54" s="555">
        <v>7200</v>
      </c>
      <c r="K54" s="556">
        <f t="shared" ref="K54:P54" si="16">J54+(J54*$F54)</f>
        <v>7452</v>
      </c>
      <c r="L54" s="556">
        <f t="shared" si="16"/>
        <v>7712.82</v>
      </c>
      <c r="M54" s="556">
        <f t="shared" si="16"/>
        <v>7982.7686999999996</v>
      </c>
      <c r="N54" s="556">
        <f t="shared" si="16"/>
        <v>8262.1656045</v>
      </c>
      <c r="O54" s="556">
        <f t="shared" si="16"/>
        <v>8551.3414006575003</v>
      </c>
      <c r="P54" s="557">
        <f t="shared" si="16"/>
        <v>8850.6383496805138</v>
      </c>
      <c r="Q54" s="516"/>
    </row>
    <row r="55" spans="2:17" x14ac:dyDescent="0.25">
      <c r="B55" s="517"/>
      <c r="C55" s="551" t="s">
        <v>436</v>
      </c>
      <c r="D55" s="553"/>
      <c r="E55" s="553"/>
      <c r="F55" s="1670">
        <v>3.5000000000000003E-2</v>
      </c>
      <c r="G55" s="1347"/>
      <c r="H55" s="554"/>
      <c r="I55" s="467">
        <f>IFERROR(J55/'1B - 4%'!$L$23,"")</f>
        <v>200</v>
      </c>
      <c r="J55" s="555">
        <v>16000</v>
      </c>
      <c r="K55" s="556">
        <f t="shared" ref="K55:P55" si="17">J55+(J55*$F55)</f>
        <v>16560</v>
      </c>
      <c r="L55" s="556">
        <f t="shared" si="17"/>
        <v>17139.599999999999</v>
      </c>
      <c r="M55" s="556">
        <f t="shared" si="17"/>
        <v>17739.485999999997</v>
      </c>
      <c r="N55" s="556">
        <f t="shared" si="17"/>
        <v>18360.368009999998</v>
      </c>
      <c r="O55" s="556">
        <f t="shared" si="17"/>
        <v>19002.980890349998</v>
      </c>
      <c r="P55" s="557">
        <f t="shared" si="17"/>
        <v>19668.085221512247</v>
      </c>
      <c r="Q55" s="516"/>
    </row>
    <row r="56" spans="2:17" x14ac:dyDescent="0.25">
      <c r="B56" s="517"/>
      <c r="C56" s="551" t="s">
        <v>437</v>
      </c>
      <c r="D56" s="552"/>
      <c r="E56" s="553"/>
      <c r="F56" s="1670">
        <v>3.5000000000000003E-2</v>
      </c>
      <c r="G56" s="1347"/>
      <c r="H56" s="554"/>
      <c r="I56" s="467">
        <f>IFERROR(J56/'1B - 4%'!$L$23,"")</f>
        <v>84</v>
      </c>
      <c r="J56" s="555">
        <v>6720</v>
      </c>
      <c r="K56" s="556">
        <f t="shared" ref="K56:P56" si="18">J56+(J56*$F56)</f>
        <v>6955.2</v>
      </c>
      <c r="L56" s="556">
        <f t="shared" si="18"/>
        <v>7198.6319999999996</v>
      </c>
      <c r="M56" s="556">
        <f t="shared" si="18"/>
        <v>7450.5841199999995</v>
      </c>
      <c r="N56" s="556">
        <f t="shared" si="18"/>
        <v>7711.3545641999999</v>
      </c>
      <c r="O56" s="556">
        <f t="shared" si="18"/>
        <v>7981.2519739469999</v>
      </c>
      <c r="P56" s="557">
        <f t="shared" si="18"/>
        <v>8260.5957930351451</v>
      </c>
      <c r="Q56" s="516"/>
    </row>
    <row r="57" spans="2:17" x14ac:dyDescent="0.25">
      <c r="B57" s="517"/>
      <c r="C57" s="551" t="s">
        <v>438</v>
      </c>
      <c r="D57" s="553"/>
      <c r="E57" s="553"/>
      <c r="F57" s="1670">
        <v>3.5000000000000003E-2</v>
      </c>
      <c r="G57" s="1347"/>
      <c r="H57" s="554"/>
      <c r="I57" s="467">
        <f>IFERROR(J57/'1B - 4%'!$L$23,"")</f>
        <v>50</v>
      </c>
      <c r="J57" s="555">
        <v>4000</v>
      </c>
      <c r="K57" s="556">
        <f t="shared" ref="K57:P57" si="19">J57+(J57*$F57)</f>
        <v>4140</v>
      </c>
      <c r="L57" s="556">
        <f t="shared" si="19"/>
        <v>4284.8999999999996</v>
      </c>
      <c r="M57" s="556">
        <f t="shared" si="19"/>
        <v>4434.8714999999993</v>
      </c>
      <c r="N57" s="556">
        <f t="shared" si="19"/>
        <v>4590.0920024999996</v>
      </c>
      <c r="O57" s="556">
        <f t="shared" si="19"/>
        <v>4750.7452225874995</v>
      </c>
      <c r="P57" s="557">
        <f t="shared" si="19"/>
        <v>4917.0213053780617</v>
      </c>
      <c r="Q57" s="516"/>
    </row>
    <row r="58" spans="2:17" x14ac:dyDescent="0.25">
      <c r="B58" s="517"/>
      <c r="C58" s="551" t="s">
        <v>439</v>
      </c>
      <c r="D58" s="553"/>
      <c r="E58" s="553"/>
      <c r="F58" s="1670">
        <v>3.5000000000000003E-2</v>
      </c>
      <c r="G58" s="1347"/>
      <c r="H58" s="554"/>
      <c r="I58" s="467">
        <f>IFERROR(J58/'1B - 4%'!$L$23,"")</f>
        <v>100</v>
      </c>
      <c r="J58" s="555">
        <v>8000</v>
      </c>
      <c r="K58" s="556">
        <f t="shared" ref="K58:P58" si="20">J58+(J58*$F58)</f>
        <v>8280</v>
      </c>
      <c r="L58" s="556">
        <f t="shared" si="20"/>
        <v>8569.7999999999993</v>
      </c>
      <c r="M58" s="556">
        <f t="shared" si="20"/>
        <v>8869.7429999999986</v>
      </c>
      <c r="N58" s="556">
        <f t="shared" si="20"/>
        <v>9180.1840049999992</v>
      </c>
      <c r="O58" s="556">
        <f t="shared" si="20"/>
        <v>9501.490445174999</v>
      </c>
      <c r="P58" s="557">
        <f t="shared" si="20"/>
        <v>9834.0426107561234</v>
      </c>
      <c r="Q58" s="516"/>
    </row>
    <row r="59" spans="2:17" x14ac:dyDescent="0.25">
      <c r="B59" s="517"/>
      <c r="C59" s="551" t="s">
        <v>440</v>
      </c>
      <c r="D59" s="553"/>
      <c r="E59" s="553"/>
      <c r="F59" s="1670">
        <v>3.5000000000000003E-2</v>
      </c>
      <c r="G59" s="1347"/>
      <c r="H59" s="554"/>
      <c r="I59" s="467">
        <f>IFERROR(J59/'1B - 4%'!$L$23,"")</f>
        <v>50</v>
      </c>
      <c r="J59" s="555">
        <v>4000</v>
      </c>
      <c r="K59" s="556">
        <f t="shared" ref="K59:P59" si="21">J59+(J59*$F59)</f>
        <v>4140</v>
      </c>
      <c r="L59" s="556">
        <f t="shared" si="21"/>
        <v>4284.8999999999996</v>
      </c>
      <c r="M59" s="556">
        <f t="shared" si="21"/>
        <v>4434.8714999999993</v>
      </c>
      <c r="N59" s="556">
        <f t="shared" si="21"/>
        <v>4590.0920024999996</v>
      </c>
      <c r="O59" s="556">
        <f t="shared" si="21"/>
        <v>4750.7452225874995</v>
      </c>
      <c r="P59" s="557">
        <f t="shared" si="21"/>
        <v>4917.0213053780617</v>
      </c>
      <c r="Q59" s="516"/>
    </row>
    <row r="60" spans="2:17" x14ac:dyDescent="0.25">
      <c r="B60" s="517"/>
      <c r="C60" s="551" t="s">
        <v>441</v>
      </c>
      <c r="D60" s="553"/>
      <c r="E60" s="553"/>
      <c r="F60" s="1670">
        <v>3.5000000000000003E-2</v>
      </c>
      <c r="G60" s="1347"/>
      <c r="H60" s="554"/>
      <c r="I60" s="467">
        <f>IFERROR(J60/'1B - 4%'!$L$23,"")</f>
        <v>53</v>
      </c>
      <c r="J60" s="555">
        <v>4240</v>
      </c>
      <c r="K60" s="556">
        <f t="shared" ref="K60:P60" si="22">J60+(J60*$F60)</f>
        <v>4388.3999999999996</v>
      </c>
      <c r="L60" s="556">
        <f t="shared" si="22"/>
        <v>4541.9939999999997</v>
      </c>
      <c r="M60" s="556">
        <f t="shared" si="22"/>
        <v>4700.9637899999998</v>
      </c>
      <c r="N60" s="556">
        <f t="shared" si="22"/>
        <v>4865.4975226500001</v>
      </c>
      <c r="O60" s="556">
        <f t="shared" si="22"/>
        <v>5035.7899359427502</v>
      </c>
      <c r="P60" s="557">
        <f t="shared" si="22"/>
        <v>5212.042583700746</v>
      </c>
      <c r="Q60" s="516"/>
    </row>
    <row r="61" spans="2:17" x14ac:dyDescent="0.25">
      <c r="B61" s="517"/>
      <c r="C61" s="551" t="s">
        <v>442</v>
      </c>
      <c r="D61" s="552"/>
      <c r="E61" s="553"/>
      <c r="F61" s="1670">
        <v>0.04</v>
      </c>
      <c r="G61" s="1347"/>
      <c r="H61" s="554"/>
      <c r="I61" s="467">
        <f>IFERROR(J61/'1B - 4%'!$L$23,"")</f>
        <v>635</v>
      </c>
      <c r="J61" s="555">
        <v>50800</v>
      </c>
      <c r="K61" s="556">
        <f t="shared" ref="K61:P61" si="23">J61+(J61*$F61)</f>
        <v>52832</v>
      </c>
      <c r="L61" s="556">
        <f t="shared" si="23"/>
        <v>54945.279999999999</v>
      </c>
      <c r="M61" s="556">
        <f t="shared" si="23"/>
        <v>57143.091199999995</v>
      </c>
      <c r="N61" s="556">
        <f t="shared" si="23"/>
        <v>59428.814847999995</v>
      </c>
      <c r="O61" s="556">
        <f t="shared" si="23"/>
        <v>61805.967441919995</v>
      </c>
      <c r="P61" s="557">
        <f t="shared" si="23"/>
        <v>64278.206139596798</v>
      </c>
      <c r="Q61" s="516"/>
    </row>
    <row r="62" spans="2:17" x14ac:dyDescent="0.25">
      <c r="B62" s="517"/>
      <c r="C62" s="551" t="s">
        <v>443</v>
      </c>
      <c r="D62" s="552"/>
      <c r="E62" s="553"/>
      <c r="F62" s="1670">
        <v>3.5000000000000003E-2</v>
      </c>
      <c r="G62" s="1347"/>
      <c r="H62" s="554"/>
      <c r="I62" s="467">
        <f>IFERROR(J62/'1B - 4%'!$L$23,"")</f>
        <v>140</v>
      </c>
      <c r="J62" s="555">
        <v>11200</v>
      </c>
      <c r="K62" s="556">
        <f t="shared" ref="K62:P62" si="24">J62+(J62*$F62)</f>
        <v>11592</v>
      </c>
      <c r="L62" s="556">
        <f t="shared" si="24"/>
        <v>11997.72</v>
      </c>
      <c r="M62" s="556">
        <f t="shared" si="24"/>
        <v>12417.6402</v>
      </c>
      <c r="N62" s="556">
        <f t="shared" si="24"/>
        <v>12852.257607</v>
      </c>
      <c r="O62" s="556">
        <f t="shared" si="24"/>
        <v>13302.086623244999</v>
      </c>
      <c r="P62" s="557">
        <f t="shared" si="24"/>
        <v>13767.659655058575</v>
      </c>
      <c r="Q62" s="516"/>
    </row>
    <row r="63" spans="2:17" x14ac:dyDescent="0.25">
      <c r="B63" s="558"/>
      <c r="C63" s="551" t="s">
        <v>444</v>
      </c>
      <c r="D63" s="552"/>
      <c r="E63" s="553"/>
      <c r="F63" s="1670">
        <v>3.5000000000000003E-2</v>
      </c>
      <c r="G63" s="1347"/>
      <c r="H63" s="554"/>
      <c r="I63" s="467">
        <f>IFERROR(J63/'1B - 4%'!$L$23,"")</f>
        <v>80</v>
      </c>
      <c r="J63" s="555">
        <v>6400</v>
      </c>
      <c r="K63" s="556">
        <f t="shared" ref="K63:P63" si="25">J63+(J63*$F63)</f>
        <v>6624</v>
      </c>
      <c r="L63" s="556">
        <f t="shared" si="25"/>
        <v>6855.84</v>
      </c>
      <c r="M63" s="556">
        <f t="shared" si="25"/>
        <v>7095.7943999999998</v>
      </c>
      <c r="N63" s="556">
        <f t="shared" si="25"/>
        <v>7344.1472039999999</v>
      </c>
      <c r="O63" s="556">
        <f t="shared" si="25"/>
        <v>7601.1923561399999</v>
      </c>
      <c r="P63" s="557">
        <f t="shared" si="25"/>
        <v>7867.2340886048996</v>
      </c>
      <c r="Q63" s="559"/>
    </row>
    <row r="64" spans="2:17" x14ac:dyDescent="0.25">
      <c r="B64" s="517"/>
      <c r="C64" s="551" t="s">
        <v>445</v>
      </c>
      <c r="D64" s="553"/>
      <c r="E64" s="553"/>
      <c r="F64" s="1670">
        <v>3.5000000000000003E-2</v>
      </c>
      <c r="G64" s="1347"/>
      <c r="H64" s="554"/>
      <c r="I64" s="467">
        <f>IFERROR(J64/'1B - 4%'!$L$23,"")</f>
        <v>125</v>
      </c>
      <c r="J64" s="555">
        <v>10000</v>
      </c>
      <c r="K64" s="556">
        <f t="shared" ref="K64:P64" si="26">J64+(J64*$F64)</f>
        <v>10350</v>
      </c>
      <c r="L64" s="556">
        <f t="shared" si="26"/>
        <v>10712.25</v>
      </c>
      <c r="M64" s="556">
        <f t="shared" si="26"/>
        <v>11087.178749999999</v>
      </c>
      <c r="N64" s="556">
        <f t="shared" si="26"/>
        <v>11475.23000625</v>
      </c>
      <c r="O64" s="556">
        <f t="shared" si="26"/>
        <v>11876.86305646875</v>
      </c>
      <c r="P64" s="557">
        <f t="shared" si="26"/>
        <v>12292.553263445156</v>
      </c>
      <c r="Q64" s="516"/>
    </row>
    <row r="65" spans="2:17" x14ac:dyDescent="0.25">
      <c r="B65" s="517"/>
      <c r="C65" s="551" t="s">
        <v>446</v>
      </c>
      <c r="D65" s="553"/>
      <c r="E65" s="553"/>
      <c r="F65" s="1670">
        <v>3.5000000000000003E-2</v>
      </c>
      <c r="G65" s="1347"/>
      <c r="H65" s="554"/>
      <c r="I65" s="467">
        <f>IFERROR(J65/'1B - 4%'!$L$23,"")</f>
        <v>33.837499999999999</v>
      </c>
      <c r="J65" s="555">
        <v>2707</v>
      </c>
      <c r="K65" s="556">
        <f t="shared" ref="K65:P65" si="27">J65+(J65*$F65)</f>
        <v>2801.7449999999999</v>
      </c>
      <c r="L65" s="556">
        <f t="shared" si="27"/>
        <v>2899.806075</v>
      </c>
      <c r="M65" s="556">
        <f t="shared" si="27"/>
        <v>3001.299287625</v>
      </c>
      <c r="N65" s="556">
        <f t="shared" si="27"/>
        <v>3106.3447626918751</v>
      </c>
      <c r="O65" s="556">
        <f t="shared" si="27"/>
        <v>3215.0668293860908</v>
      </c>
      <c r="P65" s="557">
        <f t="shared" si="27"/>
        <v>3327.5941684146042</v>
      </c>
      <c r="Q65" s="516"/>
    </row>
    <row r="66" spans="2:17" ht="15.75" thickBot="1" x14ac:dyDescent="0.3">
      <c r="B66" s="517"/>
      <c r="C66" s="560" t="s">
        <v>247</v>
      </c>
      <c r="D66" s="561"/>
      <c r="E66" s="562"/>
      <c r="F66" s="1671">
        <v>3.5000000000000003E-2</v>
      </c>
      <c r="G66" s="1347"/>
      <c r="H66" s="554"/>
      <c r="I66" s="468">
        <f>IFERROR(J66/'1B - 4%'!$L$23,"")</f>
        <v>701.08749999999998</v>
      </c>
      <c r="J66" s="563">
        <f>10000+42487+3600</f>
        <v>56087</v>
      </c>
      <c r="K66" s="564">
        <f t="shared" ref="K66:P66" si="28">J66+(J66*$F66)</f>
        <v>58050.044999999998</v>
      </c>
      <c r="L66" s="564">
        <f t="shared" si="28"/>
        <v>60081.796575</v>
      </c>
      <c r="M66" s="564">
        <f>L66+(L66*$F66)</f>
        <v>62184.659455125002</v>
      </c>
      <c r="N66" s="564">
        <f t="shared" si="28"/>
        <v>64361.122536054376</v>
      </c>
      <c r="O66" s="564">
        <f t="shared" si="28"/>
        <v>66613.761824816276</v>
      </c>
      <c r="P66" s="565">
        <f t="shared" si="28"/>
        <v>68945.24348868485</v>
      </c>
      <c r="Q66" s="516"/>
    </row>
    <row r="67" spans="2:17" ht="15.75" thickBot="1" x14ac:dyDescent="0.3">
      <c r="B67" s="517"/>
      <c r="C67" s="475" t="s">
        <v>447</v>
      </c>
      <c r="D67" s="532"/>
      <c r="E67" s="515"/>
      <c r="F67" s="533"/>
      <c r="G67" s="533"/>
      <c r="H67" s="515"/>
      <c r="I67" s="468">
        <f>IFERROR(J67/'1B - 4%'!$L$23,"")</f>
        <v>4951.2331250000007</v>
      </c>
      <c r="J67" s="469">
        <f>SUM(J46:J66)</f>
        <v>396098.65</v>
      </c>
      <c r="K67" s="470">
        <f t="shared" ref="K67:P67" si="29">SUM(K46:K66)</f>
        <v>409628.18274999998</v>
      </c>
      <c r="L67" s="470">
        <f t="shared" si="29"/>
        <v>423626.71114625002</v>
      </c>
      <c r="M67" s="470">
        <f t="shared" si="29"/>
        <v>438110.68898636888</v>
      </c>
      <c r="N67" s="470">
        <f t="shared" si="29"/>
        <v>453097.15302064165</v>
      </c>
      <c r="O67" s="470">
        <f t="shared" si="29"/>
        <v>468603.74377594783</v>
      </c>
      <c r="P67" s="471">
        <f t="shared" si="29"/>
        <v>484648.72712879302</v>
      </c>
      <c r="Q67" s="516"/>
    </row>
    <row r="68" spans="2:17" ht="15.75" thickBot="1" x14ac:dyDescent="0.3">
      <c r="B68" s="517"/>
      <c r="C68" s="475"/>
      <c r="D68" s="532"/>
      <c r="E68" s="515"/>
      <c r="F68" s="541" t="s">
        <v>412</v>
      </c>
      <c r="G68" s="542"/>
      <c r="H68" s="518"/>
      <c r="I68" s="518"/>
      <c r="J68" s="472"/>
      <c r="K68" s="473"/>
      <c r="L68" s="473"/>
      <c r="M68" s="473"/>
      <c r="N68" s="473"/>
      <c r="O68" s="473"/>
      <c r="P68" s="474"/>
      <c r="Q68" s="516"/>
    </row>
    <row r="69" spans="2:17" x14ac:dyDescent="0.25">
      <c r="B69" s="550"/>
      <c r="C69" s="566" t="s">
        <v>448</v>
      </c>
      <c r="D69" s="567"/>
      <c r="E69" s="546"/>
      <c r="F69" s="1659">
        <v>3.5000000000000003E-2</v>
      </c>
      <c r="G69" s="1348"/>
      <c r="H69" s="546"/>
      <c r="I69" s="466">
        <f>IFERROR(J69/'1B - 4%'!$L$23,"")</f>
        <v>350</v>
      </c>
      <c r="J69" s="568">
        <v>28000</v>
      </c>
      <c r="K69" s="556">
        <f t="shared" ref="K69:P69" si="30">J69+(J69*$F69)</f>
        <v>28980</v>
      </c>
      <c r="L69" s="556">
        <f t="shared" si="30"/>
        <v>29994.3</v>
      </c>
      <c r="M69" s="556">
        <f t="shared" si="30"/>
        <v>31044.1005</v>
      </c>
      <c r="N69" s="556">
        <f t="shared" si="30"/>
        <v>32130.644017499999</v>
      </c>
      <c r="O69" s="556">
        <f t="shared" si="30"/>
        <v>33255.216558112501</v>
      </c>
      <c r="P69" s="557">
        <f t="shared" si="30"/>
        <v>34419.14913764644</v>
      </c>
      <c r="Q69" s="516"/>
    </row>
    <row r="70" spans="2:17" ht="15.75" thickBot="1" x14ac:dyDescent="0.3">
      <c r="B70" s="550"/>
      <c r="C70" s="569" t="s">
        <v>449</v>
      </c>
      <c r="D70" s="561"/>
      <c r="E70" s="562"/>
      <c r="F70" s="1672">
        <v>3.5000000000000003E-2</v>
      </c>
      <c r="G70" s="1347"/>
      <c r="H70" s="554"/>
      <c r="I70" s="468">
        <f>IFERROR(J70/'1B - 4%'!$L$23,"")</f>
        <v>0</v>
      </c>
      <c r="J70" s="789">
        <v>0</v>
      </c>
      <c r="K70" s="564">
        <f t="shared" ref="K70:P70" si="31">J70+(J70*$F70)</f>
        <v>0</v>
      </c>
      <c r="L70" s="564">
        <f t="shared" si="31"/>
        <v>0</v>
      </c>
      <c r="M70" s="564">
        <f t="shared" si="31"/>
        <v>0</v>
      </c>
      <c r="N70" s="564">
        <f t="shared" si="31"/>
        <v>0</v>
      </c>
      <c r="O70" s="564">
        <f t="shared" si="31"/>
        <v>0</v>
      </c>
      <c r="P70" s="565">
        <f t="shared" si="31"/>
        <v>0</v>
      </c>
      <c r="Q70" s="516"/>
    </row>
    <row r="71" spans="2:17" x14ac:dyDescent="0.25">
      <c r="B71" s="550"/>
      <c r="C71" s="475" t="s">
        <v>450</v>
      </c>
      <c r="D71" s="532"/>
      <c r="E71" s="532"/>
      <c r="F71" s="532"/>
      <c r="G71" s="532"/>
      <c r="H71" s="515"/>
      <c r="I71" s="570">
        <f>IFERROR(J71/'1B - 4%'!$L$23,"")</f>
        <v>350</v>
      </c>
      <c r="J71" s="469">
        <f>SUM(J69:J70)</f>
        <v>28000</v>
      </c>
      <c r="K71" s="470">
        <f t="shared" ref="K71:P71" si="32">SUM(K69:K70)</f>
        <v>28980</v>
      </c>
      <c r="L71" s="470">
        <f t="shared" si="32"/>
        <v>29994.3</v>
      </c>
      <c r="M71" s="470">
        <f t="shared" si="32"/>
        <v>31044.1005</v>
      </c>
      <c r="N71" s="470">
        <f t="shared" si="32"/>
        <v>32130.644017499999</v>
      </c>
      <c r="O71" s="470">
        <f t="shared" si="32"/>
        <v>33255.216558112501</v>
      </c>
      <c r="P71" s="471">
        <f t="shared" si="32"/>
        <v>34419.14913764644</v>
      </c>
      <c r="Q71" s="516"/>
    </row>
    <row r="72" spans="2:17" ht="7.5" customHeight="1" thickBot="1" x14ac:dyDescent="0.3">
      <c r="B72" s="550"/>
      <c r="C72" s="475"/>
      <c r="D72" s="532"/>
      <c r="E72" s="532"/>
      <c r="F72" s="532"/>
      <c r="G72" s="532"/>
      <c r="H72" s="515"/>
      <c r="I72" s="570"/>
      <c r="J72" s="472"/>
      <c r="K72" s="473"/>
      <c r="L72" s="473"/>
      <c r="M72" s="473"/>
      <c r="N72" s="473"/>
      <c r="O72" s="473"/>
      <c r="P72" s="474"/>
      <c r="Q72" s="516"/>
    </row>
    <row r="73" spans="2:17" ht="15.75" thickBot="1" x14ac:dyDescent="0.3">
      <c r="B73" s="517"/>
      <c r="C73" s="475" t="s">
        <v>451</v>
      </c>
      <c r="D73" s="532"/>
      <c r="E73" s="339"/>
      <c r="F73" s="1673">
        <v>3.5000000000000003E-2</v>
      </c>
      <c r="G73" s="1349"/>
      <c r="H73" s="546"/>
      <c r="I73" s="1378">
        <f>IFERROR(J73/'1B - 4%'!$L$23,"")</f>
        <v>0</v>
      </c>
      <c r="J73" s="2051">
        <f>'8D - 4%'!K44</f>
        <v>0</v>
      </c>
      <c r="K73" s="571">
        <f>J73+(J73*$F73)</f>
        <v>0</v>
      </c>
      <c r="L73" s="571">
        <f t="shared" ref="L73:P75" si="33">K73+(K73*$F73)</f>
        <v>0</v>
      </c>
      <c r="M73" s="571">
        <f t="shared" si="33"/>
        <v>0</v>
      </c>
      <c r="N73" s="571">
        <f t="shared" si="33"/>
        <v>0</v>
      </c>
      <c r="O73" s="571">
        <f t="shared" si="33"/>
        <v>0</v>
      </c>
      <c r="P73" s="572">
        <f t="shared" si="33"/>
        <v>0</v>
      </c>
      <c r="Q73" s="516"/>
    </row>
    <row r="74" spans="2:17" ht="7.5" customHeight="1" thickBot="1" x14ac:dyDescent="0.3">
      <c r="B74" s="517"/>
      <c r="C74" s="475"/>
      <c r="D74" s="532"/>
      <c r="E74" s="339"/>
      <c r="F74" s="532"/>
      <c r="G74" s="532"/>
      <c r="H74" s="515"/>
      <c r="I74" s="570"/>
      <c r="J74" s="472"/>
      <c r="K74" s="473"/>
      <c r="L74" s="473"/>
      <c r="M74" s="473"/>
      <c r="N74" s="473"/>
      <c r="O74" s="473"/>
      <c r="P74" s="474"/>
      <c r="Q74" s="516"/>
    </row>
    <row r="75" spans="2:17" ht="15.75" thickBot="1" x14ac:dyDescent="0.3">
      <c r="B75" s="517"/>
      <c r="C75" s="573" t="s">
        <v>452</v>
      </c>
      <c r="D75" s="535"/>
      <c r="E75" s="535"/>
      <c r="F75" s="1674">
        <v>0</v>
      </c>
      <c r="G75" s="1350"/>
      <c r="H75" s="574"/>
      <c r="I75" s="535"/>
      <c r="J75" s="1675">
        <v>0</v>
      </c>
      <c r="K75" s="1676">
        <f>J75+(J75*$F75)</f>
        <v>0</v>
      </c>
      <c r="L75" s="1676">
        <f t="shared" si="33"/>
        <v>0</v>
      </c>
      <c r="M75" s="1676">
        <f t="shared" si="33"/>
        <v>0</v>
      </c>
      <c r="N75" s="1676">
        <f t="shared" si="33"/>
        <v>0</v>
      </c>
      <c r="O75" s="1676">
        <f t="shared" si="33"/>
        <v>0</v>
      </c>
      <c r="P75" s="1677">
        <f>O75+(O75*$F75)</f>
        <v>0</v>
      </c>
      <c r="Q75" s="516"/>
    </row>
    <row r="76" spans="2:17" ht="16.5" thickTop="1" thickBot="1" x14ac:dyDescent="0.3">
      <c r="B76" s="517"/>
      <c r="C76" s="540" t="s">
        <v>453</v>
      </c>
      <c r="D76" s="532"/>
      <c r="E76" s="515"/>
      <c r="F76" s="532"/>
      <c r="G76" s="532"/>
      <c r="H76" s="575"/>
      <c r="I76" s="533" t="s">
        <v>416</v>
      </c>
      <c r="J76" s="476">
        <f>J67+J71+J73+J75</f>
        <v>424098.65</v>
      </c>
      <c r="K76" s="477">
        <f t="shared" ref="K76:P76" si="34">K67+K71+K73+K75</f>
        <v>438608.18274999998</v>
      </c>
      <c r="L76" s="477">
        <f t="shared" si="34"/>
        <v>453621.01114625001</v>
      </c>
      <c r="M76" s="477">
        <f t="shared" si="34"/>
        <v>469154.78948636889</v>
      </c>
      <c r="N76" s="477">
        <f t="shared" si="34"/>
        <v>485227.79703814164</v>
      </c>
      <c r="O76" s="477">
        <f t="shared" si="34"/>
        <v>501858.96033406036</v>
      </c>
      <c r="P76" s="478">
        <f t="shared" si="34"/>
        <v>519067.87626643945</v>
      </c>
      <c r="Q76" s="516"/>
    </row>
    <row r="77" spans="2:17" ht="7.5" customHeight="1" thickBot="1" x14ac:dyDescent="0.3">
      <c r="B77" s="517"/>
      <c r="C77" s="532"/>
      <c r="D77" s="532"/>
      <c r="E77" s="532"/>
      <c r="F77" s="532"/>
      <c r="G77" s="532"/>
      <c r="H77" s="532"/>
      <c r="I77" s="532"/>
      <c r="J77" s="576"/>
      <c r="K77" s="576"/>
      <c r="L77" s="576"/>
      <c r="M77" s="576"/>
      <c r="N77" s="576"/>
      <c r="O77" s="576"/>
      <c r="P77" s="576"/>
      <c r="Q77" s="516"/>
    </row>
    <row r="78" spans="2:17" ht="15.75" thickBot="1" x14ac:dyDescent="0.3">
      <c r="B78" s="517"/>
      <c r="C78" s="540" t="s">
        <v>454</v>
      </c>
      <c r="D78" s="532"/>
      <c r="E78" s="532"/>
      <c r="F78" s="532"/>
      <c r="G78" s="532"/>
      <c r="H78" s="532"/>
      <c r="I78" s="533" t="s">
        <v>416</v>
      </c>
      <c r="J78" s="479">
        <f>J42-J76</f>
        <v>556352.65</v>
      </c>
      <c r="K78" s="480">
        <f t="shared" ref="K78:P78" si="35">K42-K76</f>
        <v>566354.3997500001</v>
      </c>
      <c r="L78" s="480">
        <f t="shared" si="35"/>
        <v>576465.63591624983</v>
      </c>
      <c r="M78" s="480">
        <f t="shared" si="35"/>
        <v>586684.02375269355</v>
      </c>
      <c r="N78" s="480">
        <f t="shared" si="35"/>
        <v>597006.98653189745</v>
      </c>
      <c r="O78" s="480">
        <f t="shared" si="35"/>
        <v>607431.69282522972</v>
      </c>
      <c r="P78" s="481">
        <f t="shared" si="35"/>
        <v>617955.04322183295</v>
      </c>
      <c r="Q78" s="516"/>
    </row>
    <row r="79" spans="2:17" x14ac:dyDescent="0.25">
      <c r="B79" s="517"/>
      <c r="C79" s="540"/>
      <c r="D79" s="532"/>
      <c r="E79" s="532"/>
      <c r="F79" s="532"/>
      <c r="G79" s="532"/>
      <c r="H79" s="532"/>
      <c r="I79" s="533"/>
      <c r="J79" s="570"/>
      <c r="K79" s="570"/>
      <c r="L79" s="570"/>
      <c r="M79" s="570"/>
      <c r="N79" s="570"/>
      <c r="O79" s="570"/>
      <c r="P79" s="570"/>
      <c r="Q79" s="516"/>
    </row>
    <row r="80" spans="2:17" ht="15.75" thickBot="1" x14ac:dyDescent="0.3">
      <c r="B80" s="394"/>
      <c r="C80" s="2473" t="s">
        <v>455</v>
      </c>
      <c r="D80" s="2473"/>
      <c r="E80" s="2473"/>
      <c r="F80" s="482"/>
      <c r="G80" s="482"/>
      <c r="H80" s="482"/>
      <c r="I80" s="482"/>
      <c r="J80" s="482"/>
      <c r="K80" s="482"/>
      <c r="L80" s="482"/>
      <c r="M80" s="1351"/>
      <c r="N80" s="1351"/>
      <c r="O80" s="1351"/>
      <c r="P80" s="1351"/>
      <c r="Q80" s="355"/>
    </row>
    <row r="81" spans="2:17" ht="15.75" thickBot="1" x14ac:dyDescent="0.3">
      <c r="B81" s="394"/>
      <c r="C81" s="699" t="s">
        <v>456</v>
      </c>
      <c r="D81" s="354"/>
      <c r="E81" s="1208"/>
      <c r="F81" s="1208"/>
      <c r="G81" s="1208"/>
      <c r="H81" s="2474" t="s">
        <v>457</v>
      </c>
      <c r="I81" s="2475"/>
      <c r="J81" s="446" t="s">
        <v>404</v>
      </c>
      <c r="K81" s="447" t="s">
        <v>405</v>
      </c>
      <c r="L81" s="447" t="s">
        <v>406</v>
      </c>
      <c r="M81" s="447" t="s">
        <v>407</v>
      </c>
      <c r="N81" s="447" t="s">
        <v>408</v>
      </c>
      <c r="O81" s="447" t="s">
        <v>409</v>
      </c>
      <c r="P81" s="448" t="s">
        <v>410</v>
      </c>
      <c r="Q81" s="355"/>
    </row>
    <row r="82" spans="2:17" x14ac:dyDescent="0.25">
      <c r="B82" s="394"/>
      <c r="C82" s="2523" t="s">
        <v>1585</v>
      </c>
      <c r="D82" s="2524"/>
      <c r="E82" s="2524"/>
      <c r="F82" s="2524"/>
      <c r="G82" s="2525"/>
      <c r="H82" s="2517">
        <v>7583566</v>
      </c>
      <c r="I82" s="2518"/>
      <c r="J82" s="1678">
        <v>459280</v>
      </c>
      <c r="K82" s="1679">
        <f t="shared" ref="K82:P82" si="36">J82</f>
        <v>459280</v>
      </c>
      <c r="L82" s="1679">
        <f t="shared" si="36"/>
        <v>459280</v>
      </c>
      <c r="M82" s="1679">
        <f t="shared" si="36"/>
        <v>459280</v>
      </c>
      <c r="N82" s="1679">
        <f t="shared" si="36"/>
        <v>459280</v>
      </c>
      <c r="O82" s="1679">
        <f t="shared" si="36"/>
        <v>459280</v>
      </c>
      <c r="P82" s="1680">
        <f t="shared" si="36"/>
        <v>459280</v>
      </c>
      <c r="Q82" s="355"/>
    </row>
    <row r="83" spans="2:17" x14ac:dyDescent="0.25">
      <c r="B83" s="394"/>
      <c r="C83" s="2532"/>
      <c r="D83" s="2533"/>
      <c r="E83" s="2533"/>
      <c r="F83" s="2533"/>
      <c r="G83" s="2534"/>
      <c r="H83" s="2519">
        <v>0</v>
      </c>
      <c r="I83" s="2520"/>
      <c r="J83" s="1681">
        <v>0</v>
      </c>
      <c r="K83" s="1682">
        <v>0</v>
      </c>
      <c r="L83" s="1682">
        <v>0</v>
      </c>
      <c r="M83" s="1682">
        <v>0</v>
      </c>
      <c r="N83" s="1682">
        <v>0</v>
      </c>
      <c r="O83" s="1682">
        <v>0</v>
      </c>
      <c r="P83" s="1683">
        <v>0</v>
      </c>
      <c r="Q83" s="355"/>
    </row>
    <row r="84" spans="2:17" ht="15.75" thickBot="1" x14ac:dyDescent="0.3">
      <c r="B84" s="394"/>
      <c r="C84" s="2529"/>
      <c r="D84" s="2530"/>
      <c r="E84" s="2530"/>
      <c r="F84" s="2530"/>
      <c r="G84" s="2531"/>
      <c r="H84" s="2521">
        <v>0</v>
      </c>
      <c r="I84" s="2522"/>
      <c r="J84" s="1684">
        <v>0</v>
      </c>
      <c r="K84" s="1685">
        <v>0</v>
      </c>
      <c r="L84" s="1685">
        <v>0</v>
      </c>
      <c r="M84" s="1685">
        <v>0</v>
      </c>
      <c r="N84" s="1685">
        <v>0</v>
      </c>
      <c r="O84" s="1685">
        <v>0</v>
      </c>
      <c r="P84" s="1686">
        <v>0</v>
      </c>
      <c r="Q84" s="355"/>
    </row>
    <row r="85" spans="2:17" ht="15.75" thickTop="1" x14ac:dyDescent="0.25">
      <c r="B85" s="394"/>
      <c r="C85" s="1352"/>
      <c r="D85" s="1352"/>
      <c r="E85" s="1352"/>
      <c r="F85" s="1352"/>
      <c r="G85" s="1352"/>
      <c r="H85" s="1353"/>
      <c r="I85" s="1354" t="s">
        <v>461</v>
      </c>
      <c r="J85" s="483">
        <f>SUM(J82:J84)</f>
        <v>459280</v>
      </c>
      <c r="K85" s="484">
        <f t="shared" ref="K85:P85" si="37">SUM(K82:K84)</f>
        <v>459280</v>
      </c>
      <c r="L85" s="484">
        <f t="shared" si="37"/>
        <v>459280</v>
      </c>
      <c r="M85" s="484">
        <f t="shared" si="37"/>
        <v>459280</v>
      </c>
      <c r="N85" s="484">
        <f t="shared" si="37"/>
        <v>459280</v>
      </c>
      <c r="O85" s="484">
        <f t="shared" si="37"/>
        <v>459280</v>
      </c>
      <c r="P85" s="485">
        <f t="shared" si="37"/>
        <v>459280</v>
      </c>
      <c r="Q85" s="355"/>
    </row>
    <row r="86" spans="2:17" x14ac:dyDescent="0.25">
      <c r="B86" s="394"/>
      <c r="C86" s="1352"/>
      <c r="D86" s="1352"/>
      <c r="E86" s="1352"/>
      <c r="F86" s="1208"/>
      <c r="G86" s="1208"/>
      <c r="H86" s="793"/>
      <c r="I86" s="793" t="s">
        <v>462</v>
      </c>
      <c r="J86" s="2071">
        <f>IFERROR(J78/J85,"$0 ")</f>
        <v>1.2113583217209545</v>
      </c>
      <c r="K86" s="2072">
        <f t="shared" ref="K86:P86" si="38">IFERROR(K78/K85,"$0 ")</f>
        <v>1.2331353417305351</v>
      </c>
      <c r="L86" s="2072">
        <f t="shared" si="38"/>
        <v>1.2551507488160814</v>
      </c>
      <c r="M86" s="2072">
        <f t="shared" si="38"/>
        <v>1.2773994594859204</v>
      </c>
      <c r="N86" s="2072">
        <f t="shared" si="38"/>
        <v>1.2998758633772372</v>
      </c>
      <c r="O86" s="2072">
        <f t="shared" si="38"/>
        <v>1.3225737955609427</v>
      </c>
      <c r="P86" s="2076">
        <f t="shared" si="38"/>
        <v>1.3454865076246145</v>
      </c>
      <c r="Q86" s="355"/>
    </row>
    <row r="87" spans="2:17" ht="15.75" thickBot="1" x14ac:dyDescent="0.3">
      <c r="B87" s="394"/>
      <c r="C87" s="1352"/>
      <c r="D87" s="1352"/>
      <c r="E87" s="1352"/>
      <c r="F87" s="2491" t="s">
        <v>463</v>
      </c>
      <c r="G87" s="2491"/>
      <c r="H87" s="2491"/>
      <c r="I87" s="2492"/>
      <c r="J87" s="486">
        <f>J78-J85</f>
        <v>97072.650000000023</v>
      </c>
      <c r="K87" s="487">
        <f t="shared" ref="K87:P87" si="39">K78-K85</f>
        <v>107074.3997500001</v>
      </c>
      <c r="L87" s="487">
        <f t="shared" si="39"/>
        <v>117185.63591624983</v>
      </c>
      <c r="M87" s="487">
        <f>M78-M85</f>
        <v>127404.02375269355</v>
      </c>
      <c r="N87" s="487">
        <f t="shared" si="39"/>
        <v>137726.98653189745</v>
      </c>
      <c r="O87" s="487">
        <f t="shared" si="39"/>
        <v>148151.69282522972</v>
      </c>
      <c r="P87" s="488">
        <f t="shared" si="39"/>
        <v>158675.04322183295</v>
      </c>
      <c r="Q87" s="355"/>
    </row>
    <row r="88" spans="2:17" ht="15" customHeight="1" thickBot="1" x14ac:dyDescent="0.3">
      <c r="B88" s="394"/>
      <c r="C88" s="1352"/>
      <c r="D88" s="1352"/>
      <c r="E88" s="1352"/>
      <c r="F88" s="1352"/>
      <c r="G88" s="1352"/>
      <c r="H88" s="1353"/>
      <c r="I88" s="1353"/>
      <c r="J88" s="1355"/>
      <c r="K88" s="1355"/>
      <c r="L88" s="1355"/>
      <c r="M88" s="1355"/>
      <c r="N88" s="1355"/>
      <c r="O88" s="1355"/>
      <c r="P88" s="1355"/>
      <c r="Q88" s="355"/>
    </row>
    <row r="89" spans="2:17" ht="15.75" thickBot="1" x14ac:dyDescent="0.3">
      <c r="B89" s="394"/>
      <c r="C89" s="699" t="s">
        <v>464</v>
      </c>
      <c r="D89" s="354"/>
      <c r="E89" s="1208"/>
      <c r="F89" s="1208"/>
      <c r="G89" s="1208"/>
      <c r="H89" s="2474" t="s">
        <v>457</v>
      </c>
      <c r="I89" s="2475"/>
      <c r="J89" s="446" t="s">
        <v>404</v>
      </c>
      <c r="K89" s="447" t="s">
        <v>405</v>
      </c>
      <c r="L89" s="447" t="s">
        <v>406</v>
      </c>
      <c r="M89" s="447" t="s">
        <v>407</v>
      </c>
      <c r="N89" s="447" t="s">
        <v>408</v>
      </c>
      <c r="O89" s="447" t="s">
        <v>409</v>
      </c>
      <c r="P89" s="448" t="s">
        <v>410</v>
      </c>
      <c r="Q89" s="355"/>
    </row>
    <row r="90" spans="2:17" x14ac:dyDescent="0.25">
      <c r="B90" s="394"/>
      <c r="C90" s="2523" t="s">
        <v>1586</v>
      </c>
      <c r="D90" s="2524"/>
      <c r="E90" s="2524"/>
      <c r="F90" s="2524"/>
      <c r="G90" s="2525"/>
      <c r="H90" s="2517">
        <v>5820000</v>
      </c>
      <c r="I90" s="2518"/>
      <c r="J90" s="1678">
        <v>0</v>
      </c>
      <c r="K90" s="1679">
        <v>0</v>
      </c>
      <c r="L90" s="1679">
        <v>0</v>
      </c>
      <c r="M90" s="1679">
        <v>0</v>
      </c>
      <c r="N90" s="1679">
        <v>0</v>
      </c>
      <c r="O90" s="1679">
        <v>0</v>
      </c>
      <c r="P90" s="1680">
        <v>0</v>
      </c>
      <c r="Q90" s="355"/>
    </row>
    <row r="91" spans="2:17" x14ac:dyDescent="0.25">
      <c r="B91" s="394"/>
      <c r="C91" s="2526" t="s">
        <v>1591</v>
      </c>
      <c r="D91" s="2527"/>
      <c r="E91" s="2527"/>
      <c r="F91" s="2527"/>
      <c r="G91" s="2528"/>
      <c r="H91" s="2519">
        <v>0</v>
      </c>
      <c r="I91" s="2520"/>
      <c r="J91" s="1681">
        <v>15000</v>
      </c>
      <c r="K91" s="1682">
        <f t="shared" ref="K91:P91" si="40">J91*1.035</f>
        <v>15524.999999999998</v>
      </c>
      <c r="L91" s="1682">
        <f t="shared" si="40"/>
        <v>16068.374999999996</v>
      </c>
      <c r="M91" s="1682">
        <f t="shared" si="40"/>
        <v>16630.768124999995</v>
      </c>
      <c r="N91" s="1682">
        <f t="shared" si="40"/>
        <v>17212.845009374993</v>
      </c>
      <c r="O91" s="1682">
        <f t="shared" si="40"/>
        <v>17815.294584703115</v>
      </c>
      <c r="P91" s="1683">
        <f t="shared" si="40"/>
        <v>18438.829895167724</v>
      </c>
      <c r="Q91" s="355"/>
    </row>
    <row r="92" spans="2:17" x14ac:dyDescent="0.25">
      <c r="B92" s="394"/>
      <c r="C92" s="2526"/>
      <c r="D92" s="2527"/>
      <c r="E92" s="2527"/>
      <c r="F92" s="2527"/>
      <c r="G92" s="2528"/>
      <c r="H92" s="2519">
        <v>0</v>
      </c>
      <c r="I92" s="2520"/>
      <c r="J92" s="1687">
        <v>0</v>
      </c>
      <c r="K92" s="1688">
        <v>0</v>
      </c>
      <c r="L92" s="1688">
        <v>0</v>
      </c>
      <c r="M92" s="1688">
        <v>0</v>
      </c>
      <c r="N92" s="1688">
        <v>0</v>
      </c>
      <c r="O92" s="1688">
        <v>0</v>
      </c>
      <c r="P92" s="1689">
        <v>0</v>
      </c>
      <c r="Q92" s="355"/>
    </row>
    <row r="93" spans="2:17" ht="15.75" thickBot="1" x14ac:dyDescent="0.3">
      <c r="B93" s="394"/>
      <c r="C93" s="2529"/>
      <c r="D93" s="2530"/>
      <c r="E93" s="2530"/>
      <c r="F93" s="2530"/>
      <c r="G93" s="2531"/>
      <c r="H93" s="2521">
        <v>0</v>
      </c>
      <c r="I93" s="2522"/>
      <c r="J93" s="1690">
        <v>0</v>
      </c>
      <c r="K93" s="1691">
        <v>0</v>
      </c>
      <c r="L93" s="1691">
        <v>0</v>
      </c>
      <c r="M93" s="1691">
        <v>0</v>
      </c>
      <c r="N93" s="1691">
        <v>0</v>
      </c>
      <c r="O93" s="1691">
        <v>0</v>
      </c>
      <c r="P93" s="1692">
        <v>0</v>
      </c>
      <c r="Q93" s="355"/>
    </row>
    <row r="94" spans="2:17" ht="16.5" thickTop="1" thickBot="1" x14ac:dyDescent="0.3">
      <c r="B94" s="394"/>
      <c r="C94" s="1208"/>
      <c r="D94" s="1208"/>
      <c r="E94" s="1208"/>
      <c r="F94" s="2491" t="s">
        <v>465</v>
      </c>
      <c r="G94" s="2491"/>
      <c r="H94" s="2491"/>
      <c r="I94" s="2492"/>
      <c r="J94" s="489">
        <f>SUM(J90:J93)</f>
        <v>15000</v>
      </c>
      <c r="K94" s="490">
        <f t="shared" ref="K94:P94" si="41">SUM(K90:K93)</f>
        <v>15524.999999999998</v>
      </c>
      <c r="L94" s="490">
        <f t="shared" si="41"/>
        <v>16068.374999999996</v>
      </c>
      <c r="M94" s="490">
        <f t="shared" si="41"/>
        <v>16630.768124999995</v>
      </c>
      <c r="N94" s="490">
        <f t="shared" si="41"/>
        <v>17212.845009374993</v>
      </c>
      <c r="O94" s="490">
        <f t="shared" si="41"/>
        <v>17815.294584703115</v>
      </c>
      <c r="P94" s="491">
        <f t="shared" si="41"/>
        <v>18438.829895167724</v>
      </c>
      <c r="Q94" s="355"/>
    </row>
    <row r="95" spans="2:17" ht="7.5" customHeight="1" thickBot="1" x14ac:dyDescent="0.3">
      <c r="B95" s="394"/>
      <c r="C95" s="1208"/>
      <c r="D95" s="1208"/>
      <c r="E95" s="1208"/>
      <c r="F95" s="1208"/>
      <c r="G95" s="1208"/>
      <c r="H95" s="1208"/>
      <c r="I95" s="1208"/>
      <c r="J95" s="1208"/>
      <c r="K95" s="1208"/>
      <c r="L95" s="1208"/>
      <c r="M95" s="1208"/>
      <c r="N95" s="1208"/>
      <c r="O95" s="1208"/>
      <c r="P95" s="1208"/>
      <c r="Q95" s="355"/>
    </row>
    <row r="96" spans="2:17" x14ac:dyDescent="0.25">
      <c r="B96" s="394"/>
      <c r="C96" s="1208"/>
      <c r="D96" s="1208"/>
      <c r="E96" s="1208"/>
      <c r="F96" s="2491" t="s">
        <v>466</v>
      </c>
      <c r="G96" s="2491"/>
      <c r="H96" s="2491"/>
      <c r="I96" s="2492"/>
      <c r="J96" s="2073">
        <f>IFERROR(J78/(J85+J94),"$0 ")</f>
        <v>1.1730468288774565</v>
      </c>
      <c r="K96" s="2074">
        <f t="shared" ref="K96:P96" si="42">IFERROR(K78/(K85+K94),"$0 ")</f>
        <v>1.1928147339434085</v>
      </c>
      <c r="L96" s="2074">
        <f t="shared" si="42"/>
        <v>1.2127224289264686</v>
      </c>
      <c r="M96" s="2074">
        <f t="shared" si="42"/>
        <v>1.2327605573290967</v>
      </c>
      <c r="N96" s="2074">
        <f t="shared" si="42"/>
        <v>1.2529191000132465</v>
      </c>
      <c r="O96" s="2074">
        <f t="shared" si="42"/>
        <v>1.2731873479363918</v>
      </c>
      <c r="P96" s="2075">
        <f t="shared" si="42"/>
        <v>1.2935538742683415</v>
      </c>
      <c r="Q96" s="355"/>
    </row>
    <row r="97" spans="2:17" ht="15.75" thickBot="1" x14ac:dyDescent="0.3">
      <c r="B97" s="394"/>
      <c r="C97" s="1208"/>
      <c r="D97" s="1208"/>
      <c r="E97" s="1208"/>
      <c r="F97" s="2491" t="s">
        <v>467</v>
      </c>
      <c r="G97" s="2491"/>
      <c r="H97" s="2493"/>
      <c r="I97" s="2494"/>
      <c r="J97" s="1356">
        <f t="shared" ref="J97:P97" si="43">J87-J94</f>
        <v>82072.650000000023</v>
      </c>
      <c r="K97" s="1357">
        <f t="shared" si="43"/>
        <v>91549.399750000099</v>
      </c>
      <c r="L97" s="1358">
        <f t="shared" si="43"/>
        <v>101117.26091624983</v>
      </c>
      <c r="M97" s="1358">
        <f t="shared" si="43"/>
        <v>110773.25562769355</v>
      </c>
      <c r="N97" s="1358">
        <f t="shared" si="43"/>
        <v>120514.14152252246</v>
      </c>
      <c r="O97" s="1358">
        <f t="shared" si="43"/>
        <v>130336.39824052661</v>
      </c>
      <c r="P97" s="1359">
        <f t="shared" si="43"/>
        <v>140236.21332666522</v>
      </c>
      <c r="Q97" s="355"/>
    </row>
    <row r="98" spans="2:17" ht="9" customHeight="1" thickBot="1" x14ac:dyDescent="0.3">
      <c r="B98" s="1307"/>
      <c r="C98" s="360"/>
      <c r="D98" s="577"/>
      <c r="E98" s="360"/>
      <c r="F98" s="360"/>
      <c r="G98" s="360"/>
      <c r="H98" s="360"/>
      <c r="I98" s="360"/>
      <c r="J98" s="360"/>
      <c r="K98" s="360"/>
      <c r="L98" s="360"/>
      <c r="M98" s="360"/>
      <c r="N98" s="360"/>
      <c r="O98" s="360"/>
      <c r="P98" s="360"/>
      <c r="Q98" s="361"/>
    </row>
    <row r="99" spans="2:17" ht="9" customHeight="1" x14ac:dyDescent="0.25">
      <c r="B99" s="511"/>
      <c r="C99" s="512"/>
      <c r="D99" s="512"/>
      <c r="E99" s="512"/>
      <c r="F99" s="512"/>
      <c r="G99" s="512"/>
      <c r="H99" s="512"/>
      <c r="I99" s="512"/>
      <c r="J99" s="512"/>
      <c r="K99" s="512"/>
      <c r="L99" s="512"/>
      <c r="M99" s="512"/>
      <c r="N99" s="512"/>
      <c r="O99" s="512"/>
      <c r="P99" s="512"/>
      <c r="Q99" s="513"/>
    </row>
    <row r="100" spans="2:17" ht="18.75" x14ac:dyDescent="0.3">
      <c r="B100" s="514"/>
      <c r="C100" s="2225" t="s">
        <v>1068</v>
      </c>
      <c r="D100" s="2225"/>
      <c r="E100" s="2225"/>
      <c r="F100" s="2225"/>
      <c r="G100" s="2225"/>
      <c r="H100" s="2225"/>
      <c r="I100" s="2225"/>
      <c r="J100" s="2225"/>
      <c r="K100" s="2225"/>
      <c r="L100" s="2225"/>
      <c r="M100" s="2225"/>
      <c r="N100" s="2225"/>
      <c r="O100" s="2225"/>
      <c r="P100" s="2225"/>
      <c r="Q100" s="516"/>
    </row>
    <row r="101" spans="2:17" x14ac:dyDescent="0.25">
      <c r="B101" s="514"/>
      <c r="C101" s="515"/>
      <c r="D101" s="515"/>
      <c r="E101" s="515"/>
      <c r="F101" s="515"/>
      <c r="G101" s="515"/>
      <c r="H101" s="515"/>
      <c r="I101" s="515"/>
      <c r="J101" s="515"/>
      <c r="K101" s="515"/>
      <c r="L101" s="515"/>
      <c r="M101" s="515"/>
      <c r="N101" s="515"/>
      <c r="O101" s="515"/>
      <c r="P101" s="515"/>
      <c r="Q101" s="516"/>
    </row>
    <row r="102" spans="2:17" x14ac:dyDescent="0.25">
      <c r="B102" s="514"/>
      <c r="C102" s="1123" t="s">
        <v>59</v>
      </c>
      <c r="D102" s="1122" t="str">
        <f>IF('1A'!G101="","Enter Project Name on Form 1A",'1A'!G101)</f>
        <v>Enter Project Name on Form 1A</v>
      </c>
      <c r="E102" s="1122"/>
      <c r="F102" s="1122"/>
      <c r="G102" s="1122"/>
      <c r="H102" s="1122"/>
      <c r="I102" s="1122"/>
      <c r="J102" s="1122"/>
      <c r="K102" s="1208"/>
      <c r="L102" s="1208"/>
      <c r="M102" s="1208"/>
      <c r="N102" s="1123"/>
      <c r="O102" s="1123"/>
      <c r="P102" s="1123"/>
      <c r="Q102" s="516"/>
    </row>
    <row r="103" spans="2:17" ht="3.75" customHeight="1" x14ac:dyDescent="0.25">
      <c r="B103" s="514"/>
      <c r="C103" s="1123"/>
      <c r="D103" s="1123"/>
      <c r="E103" s="1123"/>
      <c r="F103" s="1123"/>
      <c r="G103" s="1123"/>
      <c r="H103" s="1123"/>
      <c r="I103" s="1123"/>
      <c r="J103" s="1208"/>
      <c r="K103" s="1208"/>
      <c r="L103" s="1208"/>
      <c r="M103" s="1208"/>
      <c r="N103" s="1123"/>
      <c r="O103" s="1123"/>
      <c r="P103" s="1123"/>
      <c r="Q103" s="516"/>
    </row>
    <row r="104" spans="2:17" x14ac:dyDescent="0.25">
      <c r="B104" s="517"/>
      <c r="C104" s="1123" t="s">
        <v>402</v>
      </c>
      <c r="D104" s="1371">
        <f>IF(N23=0,"",N23)</f>
        <v>42262</v>
      </c>
      <c r="E104" s="518"/>
      <c r="F104" s="518"/>
      <c r="G104" s="518"/>
      <c r="H104" s="518"/>
      <c r="I104" s="518"/>
      <c r="J104" s="519"/>
      <c r="K104" s="519"/>
      <c r="L104" s="519"/>
      <c r="M104" s="519"/>
      <c r="N104" s="519"/>
      <c r="O104" s="520"/>
      <c r="P104" s="519"/>
      <c r="Q104" s="521"/>
    </row>
    <row r="105" spans="2:17" ht="7.5" customHeight="1" x14ac:dyDescent="0.25">
      <c r="B105" s="394"/>
      <c r="C105" s="354"/>
      <c r="D105" s="354"/>
      <c r="E105" s="354"/>
      <c r="F105" s="354"/>
      <c r="G105" s="354"/>
      <c r="H105" s="354"/>
      <c r="I105" s="354"/>
      <c r="J105" s="354"/>
      <c r="K105" s="354"/>
      <c r="L105" s="354"/>
      <c r="M105" s="354"/>
      <c r="N105" s="354"/>
      <c r="O105" s="354"/>
      <c r="P105" s="354"/>
      <c r="Q105" s="355"/>
    </row>
    <row r="106" spans="2:17" ht="15.75" thickBot="1" x14ac:dyDescent="0.3">
      <c r="B106" s="523"/>
      <c r="C106" s="442" t="s">
        <v>403</v>
      </c>
      <c r="D106" s="443"/>
      <c r="E106" s="441"/>
      <c r="F106" s="441"/>
      <c r="G106" s="441"/>
      <c r="H106" s="441"/>
      <c r="I106" s="441"/>
      <c r="J106" s="443"/>
      <c r="K106" s="443"/>
      <c r="L106" s="443"/>
      <c r="M106" s="443"/>
      <c r="N106" s="443"/>
      <c r="O106" s="445"/>
      <c r="P106" s="443"/>
      <c r="Q106" s="525"/>
    </row>
    <row r="107" spans="2:17" ht="15.75" thickBot="1" x14ac:dyDescent="0.3">
      <c r="B107" s="394"/>
      <c r="C107" s="532"/>
      <c r="D107" s="1208"/>
      <c r="E107" s="1208"/>
      <c r="F107" s="1208"/>
      <c r="G107" s="1208"/>
      <c r="H107" s="1208"/>
      <c r="I107" s="492" t="s">
        <v>468</v>
      </c>
      <c r="J107" s="493" t="s">
        <v>469</v>
      </c>
      <c r="K107" s="447" t="s">
        <v>470</v>
      </c>
      <c r="L107" s="447" t="s">
        <v>471</v>
      </c>
      <c r="M107" s="447" t="s">
        <v>472</v>
      </c>
      <c r="N107" s="447" t="s">
        <v>473</v>
      </c>
      <c r="O107" s="447" t="s">
        <v>474</v>
      </c>
      <c r="P107" s="448" t="s">
        <v>475</v>
      </c>
      <c r="Q107" s="355"/>
    </row>
    <row r="108" spans="2:17" x14ac:dyDescent="0.25">
      <c r="B108" s="394"/>
      <c r="C108" s="524" t="s">
        <v>411</v>
      </c>
      <c r="D108" s="1208"/>
      <c r="E108" s="1208"/>
      <c r="F108" s="1208"/>
      <c r="G108" s="1208"/>
      <c r="H108" s="1208"/>
      <c r="I108" s="450"/>
      <c r="J108" s="451"/>
      <c r="K108" s="451"/>
      <c r="L108" s="451"/>
      <c r="M108" s="451"/>
      <c r="N108" s="451"/>
      <c r="O108" s="451"/>
      <c r="P108" s="452"/>
      <c r="Q108" s="355"/>
    </row>
    <row r="109" spans="2:17" x14ac:dyDescent="0.25">
      <c r="B109" s="394"/>
      <c r="C109" s="578" t="s">
        <v>413</v>
      </c>
      <c r="D109" s="1208"/>
      <c r="E109" s="1208"/>
      <c r="F109" s="1208"/>
      <c r="G109" s="1208"/>
      <c r="H109" s="1208"/>
      <c r="I109" s="568">
        <f>P28+(P28*$H28)</f>
        <v>1193159.9668450202</v>
      </c>
      <c r="J109" s="579">
        <f>I109+(I109*$H28)</f>
        <v>1222988.9660161457</v>
      </c>
      <c r="K109" s="579">
        <f t="shared" ref="K109:P109" si="44">J109+(J109*$H28)</f>
        <v>1253563.6901665493</v>
      </c>
      <c r="L109" s="579">
        <f t="shared" si="44"/>
        <v>1284902.782420713</v>
      </c>
      <c r="M109" s="579">
        <f t="shared" si="44"/>
        <v>1317025.3519812308</v>
      </c>
      <c r="N109" s="579">
        <f t="shared" si="44"/>
        <v>1349950.9857807616</v>
      </c>
      <c r="O109" s="579">
        <f t="shared" si="44"/>
        <v>1383699.7604252805</v>
      </c>
      <c r="P109" s="580">
        <f t="shared" si="44"/>
        <v>1418292.2544359125</v>
      </c>
      <c r="Q109" s="355"/>
    </row>
    <row r="110" spans="2:17" x14ac:dyDescent="0.25">
      <c r="B110" s="394"/>
      <c r="C110" s="578" t="s">
        <v>361</v>
      </c>
      <c r="D110" s="1208"/>
      <c r="E110" s="1208"/>
      <c r="F110" s="1208"/>
      <c r="G110" s="1208"/>
      <c r="H110" s="1208"/>
      <c r="I110" s="568">
        <f>P29+(P29*$H29)</f>
        <v>0</v>
      </c>
      <c r="J110" s="579">
        <f>I110+(I110*$H29)</f>
        <v>0</v>
      </c>
      <c r="K110" s="579">
        <f t="shared" ref="K110:P110" si="45">J110+(J110*$H29)</f>
        <v>0</v>
      </c>
      <c r="L110" s="579">
        <f t="shared" si="45"/>
        <v>0</v>
      </c>
      <c r="M110" s="579">
        <f t="shared" si="45"/>
        <v>0</v>
      </c>
      <c r="N110" s="579">
        <f t="shared" si="45"/>
        <v>0</v>
      </c>
      <c r="O110" s="579">
        <f t="shared" si="45"/>
        <v>0</v>
      </c>
      <c r="P110" s="580">
        <f t="shared" si="45"/>
        <v>0</v>
      </c>
      <c r="Q110" s="355"/>
    </row>
    <row r="111" spans="2:17" x14ac:dyDescent="0.25">
      <c r="B111" s="394"/>
      <c r="C111" s="578" t="s">
        <v>371</v>
      </c>
      <c r="D111" s="1208"/>
      <c r="E111" s="1208"/>
      <c r="F111" s="1208"/>
      <c r="G111" s="1208"/>
      <c r="H111" s="1208"/>
      <c r="I111" s="568">
        <v>0</v>
      </c>
      <c r="J111" s="579">
        <v>0</v>
      </c>
      <c r="K111" s="579">
        <v>0</v>
      </c>
      <c r="L111" s="579">
        <v>0</v>
      </c>
      <c r="M111" s="579">
        <v>0</v>
      </c>
      <c r="N111" s="579">
        <v>0</v>
      </c>
      <c r="O111" s="579">
        <v>0</v>
      </c>
      <c r="P111" s="580">
        <v>0</v>
      </c>
      <c r="Q111" s="355"/>
    </row>
    <row r="112" spans="2:17" x14ac:dyDescent="0.25">
      <c r="B112" s="394"/>
      <c r="C112" s="578" t="s">
        <v>476</v>
      </c>
      <c r="D112" s="2506" t="str">
        <f>IF(D31=0,"",D31)</f>
        <v>Laundry</v>
      </c>
      <c r="E112" s="2507"/>
      <c r="F112" s="2507"/>
      <c r="G112" s="591"/>
      <c r="H112" s="532"/>
      <c r="I112" s="568">
        <f>P31+(P31*$H31)</f>
        <v>11886.857536682128</v>
      </c>
      <c r="J112" s="579">
        <f>I112+(I112*$H31)</f>
        <v>12184.028975099181</v>
      </c>
      <c r="K112" s="579">
        <f t="shared" ref="K112:P112" si="46">J112+(J112*$H31)</f>
        <v>12488.629699476662</v>
      </c>
      <c r="L112" s="579">
        <f t="shared" si="46"/>
        <v>12800.845441963578</v>
      </c>
      <c r="M112" s="579">
        <f t="shared" si="46"/>
        <v>13120.866578012668</v>
      </c>
      <c r="N112" s="579">
        <f t="shared" si="46"/>
        <v>13448.888242462985</v>
      </c>
      <c r="O112" s="579">
        <f t="shared" si="46"/>
        <v>13785.11044852456</v>
      </c>
      <c r="P112" s="580">
        <f t="shared" si="46"/>
        <v>14129.738209737674</v>
      </c>
      <c r="Q112" s="355"/>
    </row>
    <row r="113" spans="2:17" x14ac:dyDescent="0.25">
      <c r="B113" s="394"/>
      <c r="C113" s="560" t="s">
        <v>476</v>
      </c>
      <c r="D113" s="2506" t="str">
        <f>IF(D32=0,"",D32)</f>
        <v>Fees/Interest + CAU Rent</v>
      </c>
      <c r="E113" s="2507"/>
      <c r="F113" s="2507"/>
      <c r="G113" s="591"/>
      <c r="H113" s="532"/>
      <c r="I113" s="568">
        <f>P32+(P32*$H32)</f>
        <v>21741.062434591615</v>
      </c>
      <c r="J113" s="579">
        <f>I113+(I113*$H32)</f>
        <v>22284.588995456405</v>
      </c>
      <c r="K113" s="579">
        <f t="shared" ref="K113:P113" si="47">J113+(J113*$H32)</f>
        <v>22841.703720342815</v>
      </c>
      <c r="L113" s="579">
        <f t="shared" si="47"/>
        <v>23412.746313351385</v>
      </c>
      <c r="M113" s="579">
        <f t="shared" si="47"/>
        <v>23998.064971185169</v>
      </c>
      <c r="N113" s="579">
        <f t="shared" si="47"/>
        <v>24598.0165954648</v>
      </c>
      <c r="O113" s="579">
        <f t="shared" si="47"/>
        <v>25212.967010351422</v>
      </c>
      <c r="P113" s="580">
        <f t="shared" si="47"/>
        <v>25843.291185610207</v>
      </c>
      <c r="Q113" s="355"/>
    </row>
    <row r="114" spans="2:17" x14ac:dyDescent="0.25">
      <c r="B114" s="394"/>
      <c r="C114" s="532" t="s">
        <v>415</v>
      </c>
      <c r="D114" s="1208"/>
      <c r="E114" s="1208"/>
      <c r="F114" s="1208"/>
      <c r="G114" s="1208"/>
      <c r="H114" s="1208"/>
      <c r="I114" s="494">
        <f>SUM(I109:I113)</f>
        <v>1226787.8868162939</v>
      </c>
      <c r="J114" s="495">
        <f t="shared" ref="J114:O114" si="48">SUM(J109:J113)</f>
        <v>1257457.5839867012</v>
      </c>
      <c r="K114" s="495">
        <f t="shared" si="48"/>
        <v>1288894.0235863689</v>
      </c>
      <c r="L114" s="495">
        <f t="shared" si="48"/>
        <v>1321116.374176028</v>
      </c>
      <c r="M114" s="495">
        <f t="shared" si="48"/>
        <v>1354144.2835304285</v>
      </c>
      <c r="N114" s="495">
        <f t="shared" si="48"/>
        <v>1387997.8906186894</v>
      </c>
      <c r="O114" s="495">
        <f t="shared" si="48"/>
        <v>1422697.8378841565</v>
      </c>
      <c r="P114" s="496">
        <f>SUM(P109:P113)</f>
        <v>1458265.2838312604</v>
      </c>
      <c r="Q114" s="355"/>
    </row>
    <row r="115" spans="2:17" x14ac:dyDescent="0.25">
      <c r="B115" s="394"/>
      <c r="C115" s="532"/>
      <c r="D115" s="1208"/>
      <c r="E115" s="1208"/>
      <c r="F115" s="1208"/>
      <c r="G115" s="1208"/>
      <c r="H115" s="1208"/>
      <c r="I115" s="497"/>
      <c r="J115" s="498"/>
      <c r="K115" s="498"/>
      <c r="L115" s="498"/>
      <c r="M115" s="498"/>
      <c r="N115" s="498"/>
      <c r="O115" s="498"/>
      <c r="P115" s="499"/>
      <c r="Q115" s="355"/>
    </row>
    <row r="116" spans="2:17" x14ac:dyDescent="0.25">
      <c r="B116" s="394"/>
      <c r="C116" s="532" t="s">
        <v>417</v>
      </c>
      <c r="D116" s="1208"/>
      <c r="E116" s="1208"/>
      <c r="F116" s="1208"/>
      <c r="G116" s="1208"/>
      <c r="H116" s="1208"/>
      <c r="I116" s="1693">
        <v>0</v>
      </c>
      <c r="J116" s="1694">
        <v>0</v>
      </c>
      <c r="K116" s="1694">
        <v>0</v>
      </c>
      <c r="L116" s="1694">
        <v>0</v>
      </c>
      <c r="M116" s="1694">
        <v>0</v>
      </c>
      <c r="N116" s="1694">
        <v>0</v>
      </c>
      <c r="O116" s="1694">
        <v>0</v>
      </c>
      <c r="P116" s="1695">
        <v>0</v>
      </c>
      <c r="Q116" s="355"/>
    </row>
    <row r="117" spans="2:17" x14ac:dyDescent="0.25">
      <c r="B117" s="394"/>
      <c r="C117" s="532"/>
      <c r="D117" s="1208"/>
      <c r="E117" s="1208"/>
      <c r="F117" s="1208"/>
      <c r="G117" s="1208"/>
      <c r="H117" s="1208"/>
      <c r="I117" s="497"/>
      <c r="J117" s="498"/>
      <c r="K117" s="498"/>
      <c r="L117" s="498"/>
      <c r="M117" s="498"/>
      <c r="N117" s="498"/>
      <c r="O117" s="498"/>
      <c r="P117" s="499"/>
      <c r="Q117" s="355"/>
    </row>
    <row r="118" spans="2:17" ht="15.75" thickBot="1" x14ac:dyDescent="0.3">
      <c r="B118" s="394"/>
      <c r="C118" s="535" t="s">
        <v>418</v>
      </c>
      <c r="D118" s="1336"/>
      <c r="E118" s="1336"/>
      <c r="F118" s="1336"/>
      <c r="G118" s="1336"/>
      <c r="H118" s="1336"/>
      <c r="I118" s="1696">
        <v>0</v>
      </c>
      <c r="J118" s="1697">
        <v>0</v>
      </c>
      <c r="K118" s="1697">
        <v>0</v>
      </c>
      <c r="L118" s="1697">
        <v>0</v>
      </c>
      <c r="M118" s="1697">
        <v>0</v>
      </c>
      <c r="N118" s="1697">
        <v>0</v>
      </c>
      <c r="O118" s="1697">
        <v>0</v>
      </c>
      <c r="P118" s="1698">
        <v>0</v>
      </c>
      <c r="Q118" s="355"/>
    </row>
    <row r="119" spans="2:17" ht="15.75" thickTop="1" x14ac:dyDescent="0.25">
      <c r="B119" s="394"/>
      <c r="C119" s="524" t="s">
        <v>419</v>
      </c>
      <c r="D119" s="1208"/>
      <c r="E119" s="1208"/>
      <c r="F119" s="1208"/>
      <c r="G119" s="1208"/>
      <c r="H119" s="1208"/>
      <c r="I119" s="500">
        <f>I114+I116+I118</f>
        <v>1226787.8868162939</v>
      </c>
      <c r="J119" s="501">
        <f t="shared" ref="J119:O119" si="49">J114+J116+J118</f>
        <v>1257457.5839867012</v>
      </c>
      <c r="K119" s="501">
        <f t="shared" si="49"/>
        <v>1288894.0235863689</v>
      </c>
      <c r="L119" s="501">
        <f t="shared" si="49"/>
        <v>1321116.374176028</v>
      </c>
      <c r="M119" s="501">
        <f t="shared" si="49"/>
        <v>1354144.2835304285</v>
      </c>
      <c r="N119" s="501">
        <f t="shared" si="49"/>
        <v>1387997.8906186894</v>
      </c>
      <c r="O119" s="501">
        <f t="shared" si="49"/>
        <v>1422697.8378841565</v>
      </c>
      <c r="P119" s="502">
        <f>P114+P116+P118</f>
        <v>1458265.2838312604</v>
      </c>
      <c r="Q119" s="355"/>
    </row>
    <row r="120" spans="2:17" x14ac:dyDescent="0.25">
      <c r="B120" s="394"/>
      <c r="C120" s="524"/>
      <c r="D120" s="1208"/>
      <c r="E120" s="1208"/>
      <c r="F120" s="1208"/>
      <c r="G120" s="1208"/>
      <c r="H120" s="1208"/>
      <c r="I120" s="497"/>
      <c r="J120" s="498"/>
      <c r="K120" s="498"/>
      <c r="L120" s="498"/>
      <c r="M120" s="498"/>
      <c r="N120" s="498"/>
      <c r="O120" s="498"/>
      <c r="P120" s="499"/>
      <c r="Q120" s="355"/>
    </row>
    <row r="121" spans="2:17" x14ac:dyDescent="0.25">
      <c r="B121" s="394"/>
      <c r="C121" s="581" t="s">
        <v>477</v>
      </c>
      <c r="D121" s="1208"/>
      <c r="E121" s="1208"/>
      <c r="F121" s="1208"/>
      <c r="G121" s="1208"/>
      <c r="H121" s="1208"/>
      <c r="I121" s="1360">
        <f>-I114*$H40</f>
        <v>-61339.394340814702</v>
      </c>
      <c r="J121" s="1361">
        <f t="shared" ref="J121:P121" si="50">-J114*$H40</f>
        <v>-62872.879199335061</v>
      </c>
      <c r="K121" s="1361">
        <f t="shared" si="50"/>
        <v>-64444.70117931845</v>
      </c>
      <c r="L121" s="1361">
        <f t="shared" si="50"/>
        <v>-66055.818708801395</v>
      </c>
      <c r="M121" s="1361">
        <f t="shared" si="50"/>
        <v>-67707.214176521433</v>
      </c>
      <c r="N121" s="1361">
        <f t="shared" si="50"/>
        <v>-69399.894530934471</v>
      </c>
      <c r="O121" s="1361">
        <f t="shared" si="50"/>
        <v>-71134.891894207831</v>
      </c>
      <c r="P121" s="1362">
        <f t="shared" si="50"/>
        <v>-72913.264191563023</v>
      </c>
      <c r="Q121" s="355"/>
    </row>
    <row r="122" spans="2:17" ht="15.75" thickBot="1" x14ac:dyDescent="0.3">
      <c r="B122" s="394"/>
      <c r="C122" s="539" t="s">
        <v>478</v>
      </c>
      <c r="D122" s="1336"/>
      <c r="E122" s="1336"/>
      <c r="F122" s="1336"/>
      <c r="G122" s="1336"/>
      <c r="H122" s="1336"/>
      <c r="I122" s="1363">
        <f>-I118*$H41</f>
        <v>0</v>
      </c>
      <c r="J122" s="1364">
        <f>-J118*$H41</f>
        <v>0</v>
      </c>
      <c r="K122" s="1364">
        <f t="shared" ref="K122:P122" si="51">-K118*$H41</f>
        <v>0</v>
      </c>
      <c r="L122" s="1364">
        <f t="shared" si="51"/>
        <v>0</v>
      </c>
      <c r="M122" s="1364">
        <f t="shared" si="51"/>
        <v>0</v>
      </c>
      <c r="N122" s="1364">
        <f t="shared" si="51"/>
        <v>0</v>
      </c>
      <c r="O122" s="1364">
        <f t="shared" si="51"/>
        <v>0</v>
      </c>
      <c r="P122" s="1365">
        <f t="shared" si="51"/>
        <v>0</v>
      </c>
      <c r="Q122" s="355"/>
    </row>
    <row r="123" spans="2:17" ht="16.5" thickTop="1" thickBot="1" x14ac:dyDescent="0.3">
      <c r="B123" s="394"/>
      <c r="C123" s="540" t="s">
        <v>423</v>
      </c>
      <c r="D123" s="1208"/>
      <c r="E123" s="1208"/>
      <c r="F123" s="1208"/>
      <c r="G123" s="1208"/>
      <c r="H123" s="1208"/>
      <c r="I123" s="503">
        <f>I119+I121+I122</f>
        <v>1165448.4924754791</v>
      </c>
      <c r="J123" s="504">
        <f t="shared" ref="J123:O123" si="52">J119+J121+J122</f>
        <v>1194584.7047873661</v>
      </c>
      <c r="K123" s="505">
        <f t="shared" si="52"/>
        <v>1224449.3224070505</v>
      </c>
      <c r="L123" s="505">
        <f t="shared" si="52"/>
        <v>1255060.5554672265</v>
      </c>
      <c r="M123" s="505">
        <f t="shared" si="52"/>
        <v>1286437.0693539071</v>
      </c>
      <c r="N123" s="505">
        <f t="shared" si="52"/>
        <v>1318597.9960877548</v>
      </c>
      <c r="O123" s="505">
        <f t="shared" si="52"/>
        <v>1351562.9459899487</v>
      </c>
      <c r="P123" s="506">
        <f>P119+P121+P122</f>
        <v>1385352.0196396974</v>
      </c>
      <c r="Q123" s="355"/>
    </row>
    <row r="124" spans="2:17" ht="7.5" customHeight="1" x14ac:dyDescent="0.25">
      <c r="B124" s="394"/>
      <c r="C124" s="354"/>
      <c r="D124" s="354"/>
      <c r="E124" s="354"/>
      <c r="F124" s="354"/>
      <c r="G124" s="354"/>
      <c r="H124" s="354"/>
      <c r="I124" s="354"/>
      <c r="J124" s="354"/>
      <c r="K124" s="354"/>
      <c r="L124" s="354"/>
      <c r="M124" s="354"/>
      <c r="N124" s="354"/>
      <c r="O124" s="354"/>
      <c r="P124" s="354"/>
      <c r="Q124" s="355"/>
    </row>
    <row r="125" spans="2:17" ht="15.75" thickBot="1" x14ac:dyDescent="0.3">
      <c r="B125" s="517"/>
      <c r="C125" s="462" t="s">
        <v>424</v>
      </c>
      <c r="D125" s="463"/>
      <c r="E125" s="463"/>
      <c r="F125" s="463"/>
      <c r="G125" s="463"/>
      <c r="H125" s="463"/>
      <c r="I125" s="463"/>
      <c r="J125" s="463"/>
      <c r="K125" s="463"/>
      <c r="L125" s="463"/>
      <c r="M125" s="464"/>
      <c r="N125" s="463"/>
      <c r="O125" s="463"/>
      <c r="P125" s="463"/>
      <c r="Q125" s="521"/>
    </row>
    <row r="126" spans="2:17" ht="15.75" thickBot="1" x14ac:dyDescent="0.3">
      <c r="B126" s="517"/>
      <c r="C126" s="524" t="s">
        <v>425</v>
      </c>
      <c r="D126" s="515"/>
      <c r="E126" s="532"/>
      <c r="F126" s="354"/>
      <c r="G126" s="354"/>
      <c r="H126" s="515"/>
      <c r="I126" s="446" t="s">
        <v>468</v>
      </c>
      <c r="J126" s="446" t="s">
        <v>469</v>
      </c>
      <c r="K126" s="446" t="s">
        <v>470</v>
      </c>
      <c r="L126" s="446" t="s">
        <v>471</v>
      </c>
      <c r="M126" s="446" t="s">
        <v>472</v>
      </c>
      <c r="N126" s="446" t="s">
        <v>473</v>
      </c>
      <c r="O126" s="446" t="s">
        <v>474</v>
      </c>
      <c r="P126" s="492" t="s">
        <v>475</v>
      </c>
      <c r="Q126" s="516"/>
    </row>
    <row r="127" spans="2:17" x14ac:dyDescent="0.25">
      <c r="B127" s="517"/>
      <c r="C127" s="543" t="s">
        <v>427</v>
      </c>
      <c r="D127" s="544"/>
      <c r="E127" s="545"/>
      <c r="F127" s="544"/>
      <c r="G127" s="544"/>
      <c r="H127" s="545"/>
      <c r="I127" s="547">
        <f t="shared" ref="I127:I147" si="53">P46+($F46*P46)</f>
        <v>122282.13148454172</v>
      </c>
      <c r="J127" s="548">
        <f t="shared" ref="J127:J147" si="54">I127+(I127*$F46)</f>
        <v>126562.00608650068</v>
      </c>
      <c r="K127" s="548">
        <f t="shared" ref="K127:P127" si="55">J127+(J127*$F46)</f>
        <v>130991.6762995282</v>
      </c>
      <c r="L127" s="548">
        <f t="shared" si="55"/>
        <v>135576.38497001168</v>
      </c>
      <c r="M127" s="548">
        <f t="shared" si="55"/>
        <v>140321.5584439621</v>
      </c>
      <c r="N127" s="548">
        <f t="shared" si="55"/>
        <v>145232.81298950079</v>
      </c>
      <c r="O127" s="548">
        <f t="shared" si="55"/>
        <v>150315.96144413331</v>
      </c>
      <c r="P127" s="549">
        <f t="shared" si="55"/>
        <v>155577.02009467798</v>
      </c>
      <c r="Q127" s="516"/>
    </row>
    <row r="128" spans="2:17" x14ac:dyDescent="0.25">
      <c r="B128" s="517"/>
      <c r="C128" s="551" t="s">
        <v>428</v>
      </c>
      <c r="D128" s="552"/>
      <c r="E128" s="553"/>
      <c r="F128" s="552"/>
      <c r="G128" s="552"/>
      <c r="H128" s="553"/>
      <c r="I128" s="555">
        <f t="shared" si="53"/>
        <v>69885.21282966157</v>
      </c>
      <c r="J128" s="556">
        <f t="shared" si="54"/>
        <v>71632.343150403103</v>
      </c>
      <c r="K128" s="556">
        <f t="shared" ref="K128:P137" si="56">J128+(J128*$F47)</f>
        <v>73423.151729163175</v>
      </c>
      <c r="L128" s="556">
        <f t="shared" si="56"/>
        <v>75258.730522392259</v>
      </c>
      <c r="M128" s="556">
        <f t="shared" si="56"/>
        <v>77140.19878545207</v>
      </c>
      <c r="N128" s="556">
        <f t="shared" si="56"/>
        <v>79068.703755088369</v>
      </c>
      <c r="O128" s="556">
        <f t="shared" si="56"/>
        <v>81045.421348965581</v>
      </c>
      <c r="P128" s="557">
        <f t="shared" si="56"/>
        <v>83071.556882689722</v>
      </c>
      <c r="Q128" s="516"/>
    </row>
    <row r="129" spans="2:17" x14ac:dyDescent="0.25">
      <c r="B129" s="517"/>
      <c r="C129" s="551" t="s">
        <v>429</v>
      </c>
      <c r="D129" s="552"/>
      <c r="E129" s="553"/>
      <c r="F129" s="552"/>
      <c r="G129" s="552"/>
      <c r="H129" s="553"/>
      <c r="I129" s="555">
        <f t="shared" si="53"/>
        <v>10814.373733515878</v>
      </c>
      <c r="J129" s="556">
        <f t="shared" si="54"/>
        <v>11192.876814188934</v>
      </c>
      <c r="K129" s="556">
        <f t="shared" si="56"/>
        <v>11584.627502685547</v>
      </c>
      <c r="L129" s="556">
        <f t="shared" si="56"/>
        <v>11990.089465279541</v>
      </c>
      <c r="M129" s="556">
        <f t="shared" si="56"/>
        <v>12409.742596564325</v>
      </c>
      <c r="N129" s="556">
        <f t="shared" si="56"/>
        <v>12844.083587444076</v>
      </c>
      <c r="O129" s="556">
        <f t="shared" si="56"/>
        <v>13293.626513004619</v>
      </c>
      <c r="P129" s="557">
        <f t="shared" si="56"/>
        <v>13758.903440959781</v>
      </c>
      <c r="Q129" s="516"/>
    </row>
    <row r="130" spans="2:17" x14ac:dyDescent="0.25">
      <c r="B130" s="517"/>
      <c r="C130" s="551" t="s">
        <v>430</v>
      </c>
      <c r="D130" s="553"/>
      <c r="E130" s="552"/>
      <c r="F130" s="582"/>
      <c r="G130" s="582"/>
      <c r="H130" s="553"/>
      <c r="I130" s="555">
        <f t="shared" si="53"/>
        <v>2035.6468204265177</v>
      </c>
      <c r="J130" s="556">
        <f t="shared" si="54"/>
        <v>2106.8944591414456</v>
      </c>
      <c r="K130" s="556">
        <f t="shared" si="56"/>
        <v>2180.6357652113961</v>
      </c>
      <c r="L130" s="556">
        <f t="shared" si="56"/>
        <v>2256.9580169937949</v>
      </c>
      <c r="M130" s="556">
        <f t="shared" si="56"/>
        <v>2335.9515475885778</v>
      </c>
      <c r="N130" s="556">
        <f t="shared" si="56"/>
        <v>2417.7098517541781</v>
      </c>
      <c r="O130" s="556">
        <f t="shared" si="56"/>
        <v>2502.3296965655745</v>
      </c>
      <c r="P130" s="557">
        <f t="shared" si="56"/>
        <v>2589.9112359453698</v>
      </c>
      <c r="Q130" s="516"/>
    </row>
    <row r="131" spans="2:17" x14ac:dyDescent="0.25">
      <c r="B131" s="517"/>
      <c r="C131" s="551" t="s">
        <v>431</v>
      </c>
      <c r="D131" s="552"/>
      <c r="E131" s="553"/>
      <c r="F131" s="552"/>
      <c r="G131" s="552"/>
      <c r="H131" s="553"/>
      <c r="I131" s="555">
        <f t="shared" si="53"/>
        <v>30534.702306397776</v>
      </c>
      <c r="J131" s="556">
        <f t="shared" si="54"/>
        <v>31603.416887121697</v>
      </c>
      <c r="K131" s="556">
        <f t="shared" si="56"/>
        <v>32709.536478170958</v>
      </c>
      <c r="L131" s="556">
        <f t="shared" si="56"/>
        <v>33854.370254906942</v>
      </c>
      <c r="M131" s="556">
        <f t="shared" si="56"/>
        <v>35039.273213828688</v>
      </c>
      <c r="N131" s="556">
        <f t="shared" si="56"/>
        <v>36265.64777631269</v>
      </c>
      <c r="O131" s="556">
        <f t="shared" si="56"/>
        <v>37534.945448483631</v>
      </c>
      <c r="P131" s="557">
        <f t="shared" si="56"/>
        <v>38848.668539180559</v>
      </c>
      <c r="Q131" s="516"/>
    </row>
    <row r="132" spans="2:17" x14ac:dyDescent="0.25">
      <c r="B132" s="517"/>
      <c r="C132" s="551" t="s">
        <v>432</v>
      </c>
      <c r="D132" s="552"/>
      <c r="E132" s="553"/>
      <c r="F132" s="583"/>
      <c r="G132" s="583"/>
      <c r="H132" s="553"/>
      <c r="I132" s="555">
        <f t="shared" si="53"/>
        <v>24196.207019294699</v>
      </c>
      <c r="J132" s="556">
        <f t="shared" si="54"/>
        <v>25043.074264970015</v>
      </c>
      <c r="K132" s="556">
        <f t="shared" si="56"/>
        <v>25919.581864243966</v>
      </c>
      <c r="L132" s="556">
        <f t="shared" si="56"/>
        <v>26826.767229492507</v>
      </c>
      <c r="M132" s="556">
        <f t="shared" si="56"/>
        <v>27765.704082524746</v>
      </c>
      <c r="N132" s="556">
        <f>145078</f>
        <v>145078</v>
      </c>
      <c r="O132" s="556">
        <f t="shared" si="56"/>
        <v>150155.73000000001</v>
      </c>
      <c r="P132" s="557">
        <f t="shared" si="56"/>
        <v>155411.18055000002</v>
      </c>
      <c r="Q132" s="516"/>
    </row>
    <row r="133" spans="2:17" x14ac:dyDescent="0.25">
      <c r="B133" s="517"/>
      <c r="C133" s="551" t="s">
        <v>433</v>
      </c>
      <c r="D133" s="552"/>
      <c r="E133" s="553"/>
      <c r="F133" s="552"/>
      <c r="G133" s="552"/>
      <c r="H133" s="553"/>
      <c r="I133" s="555">
        <f t="shared" si="53"/>
        <v>918.58562771746597</v>
      </c>
      <c r="J133" s="556">
        <f t="shared" si="54"/>
        <v>950.73612468757733</v>
      </c>
      <c r="K133" s="556">
        <f t="shared" si="56"/>
        <v>984.01188905164258</v>
      </c>
      <c r="L133" s="556">
        <f t="shared" si="56"/>
        <v>1018.45230516845</v>
      </c>
      <c r="M133" s="556">
        <f t="shared" si="56"/>
        <v>1054.0981358493459</v>
      </c>
      <c r="N133" s="556">
        <f t="shared" si="56"/>
        <v>1090.9915706040731</v>
      </c>
      <c r="O133" s="556">
        <f t="shared" si="56"/>
        <v>1129.1762755752156</v>
      </c>
      <c r="P133" s="557">
        <f t="shared" si="56"/>
        <v>1168.6974452203483</v>
      </c>
      <c r="Q133" s="516"/>
    </row>
    <row r="134" spans="2:17" x14ac:dyDescent="0.25">
      <c r="B134" s="517"/>
      <c r="C134" s="551" t="s">
        <v>434</v>
      </c>
      <c r="D134" s="553"/>
      <c r="E134" s="552"/>
      <c r="F134" s="582"/>
      <c r="G134" s="582"/>
      <c r="H134" s="553"/>
      <c r="I134" s="555">
        <f t="shared" si="53"/>
        <v>0</v>
      </c>
      <c r="J134" s="556">
        <f t="shared" si="54"/>
        <v>0</v>
      </c>
      <c r="K134" s="556">
        <f t="shared" si="56"/>
        <v>0</v>
      </c>
      <c r="L134" s="556">
        <f t="shared" si="56"/>
        <v>0</v>
      </c>
      <c r="M134" s="556">
        <f t="shared" si="56"/>
        <v>0</v>
      </c>
      <c r="N134" s="556">
        <f t="shared" si="56"/>
        <v>0</v>
      </c>
      <c r="O134" s="556">
        <f t="shared" si="56"/>
        <v>0</v>
      </c>
      <c r="P134" s="557">
        <f t="shared" si="56"/>
        <v>0</v>
      </c>
      <c r="Q134" s="516"/>
    </row>
    <row r="135" spans="2:17" x14ac:dyDescent="0.25">
      <c r="B135" s="517"/>
      <c r="C135" s="551" t="s">
        <v>435</v>
      </c>
      <c r="D135" s="552"/>
      <c r="E135" s="553"/>
      <c r="F135" s="552"/>
      <c r="G135" s="552"/>
      <c r="H135" s="553"/>
      <c r="I135" s="555">
        <f t="shared" si="53"/>
        <v>9160.4106919193309</v>
      </c>
      <c r="J135" s="556">
        <f t="shared" si="54"/>
        <v>9481.025066136508</v>
      </c>
      <c r="K135" s="556">
        <f t="shared" si="56"/>
        <v>9812.8609434512855</v>
      </c>
      <c r="L135" s="556">
        <f t="shared" si="56"/>
        <v>10156.31107647208</v>
      </c>
      <c r="M135" s="556">
        <f t="shared" si="56"/>
        <v>10511.781964148604</v>
      </c>
      <c r="N135" s="556">
        <f t="shared" si="56"/>
        <v>10879.694332893805</v>
      </c>
      <c r="O135" s="556">
        <f t="shared" si="56"/>
        <v>11260.483634545088</v>
      </c>
      <c r="P135" s="557">
        <f t="shared" si="56"/>
        <v>11654.600561754165</v>
      </c>
      <c r="Q135" s="516"/>
    </row>
    <row r="136" spans="2:17" x14ac:dyDescent="0.25">
      <c r="B136" s="517"/>
      <c r="C136" s="551" t="s">
        <v>436</v>
      </c>
      <c r="D136" s="553"/>
      <c r="E136" s="553"/>
      <c r="F136" s="553"/>
      <c r="G136" s="553"/>
      <c r="H136" s="553"/>
      <c r="I136" s="555">
        <f t="shared" si="53"/>
        <v>20356.468204265177</v>
      </c>
      <c r="J136" s="556">
        <f t="shared" si="54"/>
        <v>21068.944591414456</v>
      </c>
      <c r="K136" s="556">
        <f t="shared" si="56"/>
        <v>21806.357652113962</v>
      </c>
      <c r="L136" s="556">
        <f t="shared" si="56"/>
        <v>22569.580169937952</v>
      </c>
      <c r="M136" s="556">
        <f t="shared" si="56"/>
        <v>23359.515475885779</v>
      </c>
      <c r="N136" s="556">
        <f t="shared" si="56"/>
        <v>24177.098517541781</v>
      </c>
      <c r="O136" s="556">
        <f t="shared" si="56"/>
        <v>25023.296965655743</v>
      </c>
      <c r="P136" s="557">
        <f t="shared" si="56"/>
        <v>25899.112359453695</v>
      </c>
      <c r="Q136" s="516"/>
    </row>
    <row r="137" spans="2:17" x14ac:dyDescent="0.25">
      <c r="B137" s="517"/>
      <c r="C137" s="551" t="s">
        <v>437</v>
      </c>
      <c r="D137" s="552"/>
      <c r="E137" s="553"/>
      <c r="F137" s="552"/>
      <c r="G137" s="552"/>
      <c r="H137" s="553"/>
      <c r="I137" s="555">
        <f t="shared" si="53"/>
        <v>8549.7166457913754</v>
      </c>
      <c r="J137" s="556">
        <f t="shared" si="54"/>
        <v>8848.9567283940742</v>
      </c>
      <c r="K137" s="556">
        <f t="shared" si="56"/>
        <v>9158.6702138878663</v>
      </c>
      <c r="L137" s="556">
        <f t="shared" si="56"/>
        <v>9479.2236713739421</v>
      </c>
      <c r="M137" s="556">
        <f t="shared" si="56"/>
        <v>9810.9964998720297</v>
      </c>
      <c r="N137" s="556">
        <f t="shared" si="56"/>
        <v>10154.38137736755</v>
      </c>
      <c r="O137" s="556">
        <f t="shared" si="56"/>
        <v>10509.784725575415</v>
      </c>
      <c r="P137" s="557">
        <f t="shared" si="56"/>
        <v>10877.627190970554</v>
      </c>
      <c r="Q137" s="516"/>
    </row>
    <row r="138" spans="2:17" x14ac:dyDescent="0.25">
      <c r="B138" s="517"/>
      <c r="C138" s="551" t="s">
        <v>438</v>
      </c>
      <c r="D138" s="553"/>
      <c r="E138" s="553"/>
      <c r="F138" s="553"/>
      <c r="G138" s="553"/>
      <c r="H138" s="553"/>
      <c r="I138" s="555">
        <f t="shared" si="53"/>
        <v>5089.1170510662942</v>
      </c>
      <c r="J138" s="556">
        <f t="shared" si="54"/>
        <v>5267.2361478536141</v>
      </c>
      <c r="K138" s="556">
        <f t="shared" ref="K138:P147" si="57">J138+(J138*$F57)</f>
        <v>5451.5894130284905</v>
      </c>
      <c r="L138" s="556">
        <f t="shared" si="57"/>
        <v>5642.3950424844879</v>
      </c>
      <c r="M138" s="556">
        <f t="shared" si="57"/>
        <v>5839.8788689714447</v>
      </c>
      <c r="N138" s="556">
        <f t="shared" si="57"/>
        <v>6044.2746293854452</v>
      </c>
      <c r="O138" s="556">
        <f t="shared" si="57"/>
        <v>6255.8242414139359</v>
      </c>
      <c r="P138" s="557">
        <f t="shared" si="57"/>
        <v>6474.7780898634237</v>
      </c>
      <c r="Q138" s="516"/>
    </row>
    <row r="139" spans="2:17" x14ac:dyDescent="0.25">
      <c r="B139" s="517"/>
      <c r="C139" s="551" t="s">
        <v>439</v>
      </c>
      <c r="D139" s="553"/>
      <c r="E139" s="553"/>
      <c r="F139" s="553"/>
      <c r="G139" s="553"/>
      <c r="H139" s="553"/>
      <c r="I139" s="555">
        <f t="shared" si="53"/>
        <v>10178.234102132588</v>
      </c>
      <c r="J139" s="556">
        <f t="shared" si="54"/>
        <v>10534.472295707228</v>
      </c>
      <c r="K139" s="556">
        <f t="shared" si="57"/>
        <v>10903.178826056981</v>
      </c>
      <c r="L139" s="556">
        <f t="shared" si="57"/>
        <v>11284.790084968976</v>
      </c>
      <c r="M139" s="556">
        <f t="shared" si="57"/>
        <v>11679.757737942889</v>
      </c>
      <c r="N139" s="556">
        <f t="shared" si="57"/>
        <v>12088.54925877089</v>
      </c>
      <c r="O139" s="556">
        <f t="shared" si="57"/>
        <v>12511.648482827872</v>
      </c>
      <c r="P139" s="557">
        <f t="shared" si="57"/>
        <v>12949.556179726847</v>
      </c>
      <c r="Q139" s="516"/>
    </row>
    <row r="140" spans="2:17" x14ac:dyDescent="0.25">
      <c r="B140" s="517"/>
      <c r="C140" s="551" t="s">
        <v>440</v>
      </c>
      <c r="D140" s="553"/>
      <c r="E140" s="553"/>
      <c r="F140" s="553"/>
      <c r="G140" s="553"/>
      <c r="H140" s="553"/>
      <c r="I140" s="555">
        <f t="shared" si="53"/>
        <v>5089.1170510662942</v>
      </c>
      <c r="J140" s="556">
        <f t="shared" si="54"/>
        <v>5267.2361478536141</v>
      </c>
      <c r="K140" s="556">
        <f t="shared" si="57"/>
        <v>5451.5894130284905</v>
      </c>
      <c r="L140" s="556">
        <f t="shared" si="57"/>
        <v>5642.3950424844879</v>
      </c>
      <c r="M140" s="556">
        <f t="shared" si="57"/>
        <v>5839.8788689714447</v>
      </c>
      <c r="N140" s="556">
        <f t="shared" si="57"/>
        <v>6044.2746293854452</v>
      </c>
      <c r="O140" s="556">
        <f t="shared" si="57"/>
        <v>6255.8242414139359</v>
      </c>
      <c r="P140" s="557">
        <f t="shared" si="57"/>
        <v>6474.7780898634237</v>
      </c>
      <c r="Q140" s="516"/>
    </row>
    <row r="141" spans="2:17" x14ac:dyDescent="0.25">
      <c r="B141" s="517"/>
      <c r="C141" s="551" t="s">
        <v>441</v>
      </c>
      <c r="D141" s="553"/>
      <c r="E141" s="553"/>
      <c r="F141" s="553"/>
      <c r="G141" s="553"/>
      <c r="H141" s="553"/>
      <c r="I141" s="555">
        <f t="shared" si="53"/>
        <v>5394.4640741302719</v>
      </c>
      <c r="J141" s="556">
        <f t="shared" si="54"/>
        <v>5583.270316724831</v>
      </c>
      <c r="K141" s="556">
        <f t="shared" si="57"/>
        <v>5778.6847778102001</v>
      </c>
      <c r="L141" s="556">
        <f t="shared" si="57"/>
        <v>5980.9387450335571</v>
      </c>
      <c r="M141" s="556">
        <f t="shared" si="57"/>
        <v>6190.2716011097318</v>
      </c>
      <c r="N141" s="556">
        <f t="shared" si="57"/>
        <v>6406.9311071485727</v>
      </c>
      <c r="O141" s="556">
        <f t="shared" si="57"/>
        <v>6631.1736958987731</v>
      </c>
      <c r="P141" s="557">
        <f t="shared" si="57"/>
        <v>6863.2647752552302</v>
      </c>
      <c r="Q141" s="516"/>
    </row>
    <row r="142" spans="2:17" x14ac:dyDescent="0.25">
      <c r="B142" s="517"/>
      <c r="C142" s="551" t="s">
        <v>442</v>
      </c>
      <c r="D142" s="552"/>
      <c r="E142" s="553"/>
      <c r="F142" s="552"/>
      <c r="G142" s="552"/>
      <c r="H142" s="553"/>
      <c r="I142" s="555">
        <f t="shared" si="53"/>
        <v>66849.334385180671</v>
      </c>
      <c r="J142" s="556">
        <f t="shared" si="54"/>
        <v>69523.307760587893</v>
      </c>
      <c r="K142" s="556">
        <f t="shared" si="57"/>
        <v>72304.240071011416</v>
      </c>
      <c r="L142" s="556">
        <f t="shared" si="57"/>
        <v>75196.409673851871</v>
      </c>
      <c r="M142" s="556">
        <f t="shared" si="57"/>
        <v>78204.266060805952</v>
      </c>
      <c r="N142" s="556">
        <f t="shared" si="57"/>
        <v>81332.436703238185</v>
      </c>
      <c r="O142" s="556">
        <f t="shared" si="57"/>
        <v>84585.734171367716</v>
      </c>
      <c r="P142" s="557">
        <f t="shared" si="57"/>
        <v>87969.163538222419</v>
      </c>
      <c r="Q142" s="516"/>
    </row>
    <row r="143" spans="2:17" x14ac:dyDescent="0.25">
      <c r="B143" s="517"/>
      <c r="C143" s="551" t="s">
        <v>443</v>
      </c>
      <c r="D143" s="552"/>
      <c r="E143" s="553"/>
      <c r="F143" s="552"/>
      <c r="G143" s="552"/>
      <c r="H143" s="553"/>
      <c r="I143" s="555">
        <f t="shared" si="53"/>
        <v>14249.527742985625</v>
      </c>
      <c r="J143" s="556">
        <f t="shared" si="54"/>
        <v>14748.261213990121</v>
      </c>
      <c r="K143" s="556">
        <f t="shared" si="57"/>
        <v>15264.450356479776</v>
      </c>
      <c r="L143" s="556">
        <f t="shared" si="57"/>
        <v>15798.706118956568</v>
      </c>
      <c r="M143" s="556">
        <f t="shared" si="57"/>
        <v>16351.660833120048</v>
      </c>
      <c r="N143" s="556">
        <f t="shared" si="57"/>
        <v>16923.96896227925</v>
      </c>
      <c r="O143" s="556">
        <f t="shared" si="57"/>
        <v>17516.307875959024</v>
      </c>
      <c r="P143" s="557">
        <f t="shared" si="57"/>
        <v>18129.37865161759</v>
      </c>
      <c r="Q143" s="516"/>
    </row>
    <row r="144" spans="2:17" x14ac:dyDescent="0.25">
      <c r="B144" s="517"/>
      <c r="C144" s="551" t="s">
        <v>444</v>
      </c>
      <c r="D144" s="552"/>
      <c r="E144" s="553"/>
      <c r="F144" s="552"/>
      <c r="G144" s="552"/>
      <c r="H144" s="553"/>
      <c r="I144" s="555">
        <f t="shared" si="53"/>
        <v>8142.5872817060708</v>
      </c>
      <c r="J144" s="556">
        <f t="shared" si="54"/>
        <v>8427.5778365657825</v>
      </c>
      <c r="K144" s="556">
        <f t="shared" si="57"/>
        <v>8722.5430608455845</v>
      </c>
      <c r="L144" s="556">
        <f t="shared" si="57"/>
        <v>9027.8320679751796</v>
      </c>
      <c r="M144" s="556">
        <f t="shared" si="57"/>
        <v>9343.8061903543112</v>
      </c>
      <c r="N144" s="556">
        <f t="shared" si="57"/>
        <v>9670.8394070167124</v>
      </c>
      <c r="O144" s="556">
        <f t="shared" si="57"/>
        <v>10009.318786262298</v>
      </c>
      <c r="P144" s="557">
        <f t="shared" si="57"/>
        <v>10359.644943781479</v>
      </c>
      <c r="Q144" s="516"/>
    </row>
    <row r="145" spans="2:17" x14ac:dyDescent="0.25">
      <c r="B145" s="517"/>
      <c r="C145" s="551" t="s">
        <v>445</v>
      </c>
      <c r="D145" s="553"/>
      <c r="E145" s="553"/>
      <c r="F145" s="553"/>
      <c r="G145" s="553"/>
      <c r="H145" s="553"/>
      <c r="I145" s="555">
        <f t="shared" si="53"/>
        <v>12722.792627665736</v>
      </c>
      <c r="J145" s="556">
        <f t="shared" si="54"/>
        <v>13168.090369634037</v>
      </c>
      <c r="K145" s="556">
        <f t="shared" si="57"/>
        <v>13628.973532571228</v>
      </c>
      <c r="L145" s="556">
        <f t="shared" si="57"/>
        <v>14105.987606211222</v>
      </c>
      <c r="M145" s="556">
        <f t="shared" si="57"/>
        <v>14599.697172428614</v>
      </c>
      <c r="N145" s="556">
        <f t="shared" si="57"/>
        <v>15110.686573463616</v>
      </c>
      <c r="O145" s="556">
        <f t="shared" si="57"/>
        <v>15639.560603534843</v>
      </c>
      <c r="P145" s="557">
        <f t="shared" si="57"/>
        <v>16186.945224658562</v>
      </c>
      <c r="Q145" s="516"/>
    </row>
    <row r="146" spans="2:17" x14ac:dyDescent="0.25">
      <c r="B146" s="517"/>
      <c r="C146" s="551" t="s">
        <v>446</v>
      </c>
      <c r="D146" s="553"/>
      <c r="E146" s="553"/>
      <c r="F146" s="553"/>
      <c r="G146" s="553"/>
      <c r="H146" s="553"/>
      <c r="I146" s="555">
        <f t="shared" si="53"/>
        <v>3444.0599643091155</v>
      </c>
      <c r="J146" s="556">
        <f t="shared" si="54"/>
        <v>3564.6020630599346</v>
      </c>
      <c r="K146" s="556">
        <f t="shared" si="57"/>
        <v>3689.3631352670322</v>
      </c>
      <c r="L146" s="556">
        <f t="shared" si="57"/>
        <v>3818.4908450013786</v>
      </c>
      <c r="M146" s="556">
        <f t="shared" si="57"/>
        <v>3952.1380245764267</v>
      </c>
      <c r="N146" s="556">
        <f t="shared" si="57"/>
        <v>4090.4628554366018</v>
      </c>
      <c r="O146" s="556">
        <f t="shared" si="57"/>
        <v>4233.6290553768831</v>
      </c>
      <c r="P146" s="557">
        <f t="shared" si="57"/>
        <v>4381.8060723150738</v>
      </c>
      <c r="Q146" s="516"/>
    </row>
    <row r="147" spans="2:17" x14ac:dyDescent="0.25">
      <c r="B147" s="517"/>
      <c r="C147" s="560" t="s">
        <v>247</v>
      </c>
      <c r="D147" s="561"/>
      <c r="E147" s="562"/>
      <c r="F147" s="584"/>
      <c r="G147" s="584"/>
      <c r="H147" s="562"/>
      <c r="I147" s="563">
        <f t="shared" si="53"/>
        <v>71358.327010788824</v>
      </c>
      <c r="J147" s="564">
        <f t="shared" si="54"/>
        <v>73855.868456166427</v>
      </c>
      <c r="K147" s="564">
        <f t="shared" si="57"/>
        <v>76440.823852132249</v>
      </c>
      <c r="L147" s="564">
        <f t="shared" si="57"/>
        <v>79116.252686956883</v>
      </c>
      <c r="M147" s="564">
        <f t="shared" si="57"/>
        <v>81885.321531000372</v>
      </c>
      <c r="N147" s="564">
        <f t="shared" si="57"/>
        <v>84751.307784585384</v>
      </c>
      <c r="O147" s="564">
        <f t="shared" si="57"/>
        <v>87717.603557045877</v>
      </c>
      <c r="P147" s="565">
        <f t="shared" si="57"/>
        <v>90787.719681542483</v>
      </c>
      <c r="Q147" s="516"/>
    </row>
    <row r="148" spans="2:17" x14ac:dyDescent="0.25">
      <c r="B148" s="517"/>
      <c r="C148" s="475" t="s">
        <v>447</v>
      </c>
      <c r="D148" s="532"/>
      <c r="E148" s="515"/>
      <c r="F148" s="533"/>
      <c r="G148" s="533"/>
      <c r="H148" s="515"/>
      <c r="I148" s="469">
        <f>SUM(I127:I147)</f>
        <v>501251.01665456308</v>
      </c>
      <c r="J148" s="470">
        <f t="shared" ref="J148:O148" si="58">SUM(J127:J147)</f>
        <v>518430.19678110193</v>
      </c>
      <c r="K148" s="470">
        <f t="shared" si="58"/>
        <v>536206.54677573952</v>
      </c>
      <c r="L148" s="470">
        <f t="shared" si="58"/>
        <v>554601.06559595384</v>
      </c>
      <c r="M148" s="470">
        <f t="shared" si="58"/>
        <v>573635.49763495743</v>
      </c>
      <c r="N148" s="470">
        <f t="shared" si="58"/>
        <v>709672.85566921753</v>
      </c>
      <c r="O148" s="470">
        <f t="shared" si="58"/>
        <v>734127.38076360535</v>
      </c>
      <c r="P148" s="507">
        <f>SUM(P127:P147)</f>
        <v>759434.31354769866</v>
      </c>
      <c r="Q148" s="516"/>
    </row>
    <row r="149" spans="2:17" ht="7.5" customHeight="1" x14ac:dyDescent="0.25">
      <c r="B149" s="517"/>
      <c r="C149" s="475"/>
      <c r="D149" s="532"/>
      <c r="E149" s="515"/>
      <c r="F149" s="533"/>
      <c r="G149" s="533"/>
      <c r="H149" s="515"/>
      <c r="I149" s="472"/>
      <c r="J149" s="473"/>
      <c r="K149" s="473"/>
      <c r="L149" s="473"/>
      <c r="M149" s="473"/>
      <c r="N149" s="473"/>
      <c r="O149" s="473"/>
      <c r="P149" s="474"/>
      <c r="Q149" s="516"/>
    </row>
    <row r="150" spans="2:17" x14ac:dyDescent="0.25">
      <c r="B150" s="517"/>
      <c r="C150" s="585" t="s">
        <v>448</v>
      </c>
      <c r="D150" s="532"/>
      <c r="E150" s="515"/>
      <c r="F150" s="532"/>
      <c r="G150" s="532"/>
      <c r="H150" s="515"/>
      <c r="I150" s="555">
        <f>P69+($F69*P69)</f>
        <v>35623.819357464068</v>
      </c>
      <c r="J150" s="556">
        <f t="shared" ref="J150:P150" si="59">I150+(I150*$F69)</f>
        <v>36870.653034975308</v>
      </c>
      <c r="K150" s="556">
        <f t="shared" si="59"/>
        <v>38161.125891199445</v>
      </c>
      <c r="L150" s="556">
        <f t="shared" si="59"/>
        <v>39496.765297391423</v>
      </c>
      <c r="M150" s="556">
        <f t="shared" si="59"/>
        <v>40879.152082800123</v>
      </c>
      <c r="N150" s="556">
        <f t="shared" si="59"/>
        <v>42309.922405698126</v>
      </c>
      <c r="O150" s="556">
        <f t="shared" si="59"/>
        <v>43790.769689897563</v>
      </c>
      <c r="P150" s="557">
        <f t="shared" si="59"/>
        <v>45323.446629043974</v>
      </c>
      <c r="Q150" s="516"/>
    </row>
    <row r="151" spans="2:17" x14ac:dyDescent="0.25">
      <c r="B151" s="517"/>
      <c r="C151" s="569" t="s">
        <v>449</v>
      </c>
      <c r="D151" s="561"/>
      <c r="E151" s="562"/>
      <c r="F151" s="561"/>
      <c r="G151" s="561"/>
      <c r="H151" s="562"/>
      <c r="I151" s="563">
        <f>P70+($F70*P70)</f>
        <v>0</v>
      </c>
      <c r="J151" s="564">
        <f t="shared" ref="J151:P151" si="60">I151+(I151*$F70)</f>
        <v>0</v>
      </c>
      <c r="K151" s="564">
        <f t="shared" si="60"/>
        <v>0</v>
      </c>
      <c r="L151" s="564">
        <f t="shared" si="60"/>
        <v>0</v>
      </c>
      <c r="M151" s="564">
        <f t="shared" si="60"/>
        <v>0</v>
      </c>
      <c r="N151" s="564">
        <f t="shared" si="60"/>
        <v>0</v>
      </c>
      <c r="O151" s="564">
        <f t="shared" si="60"/>
        <v>0</v>
      </c>
      <c r="P151" s="565">
        <f t="shared" si="60"/>
        <v>0</v>
      </c>
      <c r="Q151" s="516"/>
    </row>
    <row r="152" spans="2:17" x14ac:dyDescent="0.25">
      <c r="B152" s="517"/>
      <c r="C152" s="475" t="s">
        <v>450</v>
      </c>
      <c r="D152" s="532"/>
      <c r="E152" s="532"/>
      <c r="F152" s="532"/>
      <c r="G152" s="532"/>
      <c r="H152" s="515"/>
      <c r="I152" s="469">
        <f>SUM(I150:I151)</f>
        <v>35623.819357464068</v>
      </c>
      <c r="J152" s="470">
        <f t="shared" ref="J152:P152" si="61">SUM(J150:J151)</f>
        <v>36870.653034975308</v>
      </c>
      <c r="K152" s="470">
        <f t="shared" si="61"/>
        <v>38161.125891199445</v>
      </c>
      <c r="L152" s="470">
        <f t="shared" si="61"/>
        <v>39496.765297391423</v>
      </c>
      <c r="M152" s="470">
        <f t="shared" si="61"/>
        <v>40879.152082800123</v>
      </c>
      <c r="N152" s="470">
        <f t="shared" si="61"/>
        <v>42309.922405698126</v>
      </c>
      <c r="O152" s="470">
        <f t="shared" si="61"/>
        <v>43790.769689897563</v>
      </c>
      <c r="P152" s="471">
        <f t="shared" si="61"/>
        <v>45323.446629043974</v>
      </c>
      <c r="Q152" s="516"/>
    </row>
    <row r="153" spans="2:17" ht="7.5" customHeight="1" x14ac:dyDescent="0.25">
      <c r="B153" s="517"/>
      <c r="C153" s="475"/>
      <c r="D153" s="532"/>
      <c r="E153" s="532"/>
      <c r="F153" s="532"/>
      <c r="G153" s="532"/>
      <c r="H153" s="515"/>
      <c r="I153" s="472"/>
      <c r="J153" s="473"/>
      <c r="K153" s="473"/>
      <c r="L153" s="473"/>
      <c r="M153" s="473"/>
      <c r="N153" s="473"/>
      <c r="O153" s="473"/>
      <c r="P153" s="474"/>
      <c r="Q153" s="516"/>
    </row>
    <row r="154" spans="2:17" x14ac:dyDescent="0.25">
      <c r="B154" s="517"/>
      <c r="C154" s="475" t="s">
        <v>451</v>
      </c>
      <c r="D154" s="532"/>
      <c r="E154" s="339"/>
      <c r="F154" s="532"/>
      <c r="G154" s="532"/>
      <c r="H154" s="515"/>
      <c r="I154" s="586">
        <f>P73+($F73*P73)</f>
        <v>0</v>
      </c>
      <c r="J154" s="587">
        <f t="shared" ref="J154:P154" si="62">I154+(I154*$F73)</f>
        <v>0</v>
      </c>
      <c r="K154" s="587">
        <f t="shared" si="62"/>
        <v>0</v>
      </c>
      <c r="L154" s="587">
        <f t="shared" si="62"/>
        <v>0</v>
      </c>
      <c r="M154" s="587">
        <f t="shared" si="62"/>
        <v>0</v>
      </c>
      <c r="N154" s="587">
        <f t="shared" si="62"/>
        <v>0</v>
      </c>
      <c r="O154" s="587">
        <f t="shared" si="62"/>
        <v>0</v>
      </c>
      <c r="P154" s="588">
        <f t="shared" si="62"/>
        <v>0</v>
      </c>
      <c r="Q154" s="516"/>
    </row>
    <row r="155" spans="2:17" ht="7.5" customHeight="1" x14ac:dyDescent="0.25">
      <c r="B155" s="517"/>
      <c r="C155" s="475"/>
      <c r="D155" s="532"/>
      <c r="E155" s="339"/>
      <c r="F155" s="532"/>
      <c r="G155" s="532"/>
      <c r="H155" s="515"/>
      <c r="I155" s="472"/>
      <c r="J155" s="473"/>
      <c r="K155" s="473"/>
      <c r="L155" s="473"/>
      <c r="M155" s="473"/>
      <c r="N155" s="473"/>
      <c r="O155" s="473"/>
      <c r="P155" s="474"/>
      <c r="Q155" s="516"/>
    </row>
    <row r="156" spans="2:17" ht="15.75" thickBot="1" x14ac:dyDescent="0.3">
      <c r="B156" s="517"/>
      <c r="C156" s="573" t="s">
        <v>452</v>
      </c>
      <c r="D156" s="535"/>
      <c r="E156" s="535"/>
      <c r="F156" s="535"/>
      <c r="G156" s="535"/>
      <c r="H156" s="535"/>
      <c r="I156" s="1675">
        <f>P75+($F75*P75)</f>
        <v>0</v>
      </c>
      <c r="J156" s="1676">
        <f t="shared" ref="J156:P156" si="63">I156+(I156*$F75)</f>
        <v>0</v>
      </c>
      <c r="K156" s="1676">
        <f t="shared" si="63"/>
        <v>0</v>
      </c>
      <c r="L156" s="1676">
        <f t="shared" si="63"/>
        <v>0</v>
      </c>
      <c r="M156" s="1676">
        <f t="shared" si="63"/>
        <v>0</v>
      </c>
      <c r="N156" s="1676">
        <f t="shared" si="63"/>
        <v>0</v>
      </c>
      <c r="O156" s="1676">
        <f t="shared" si="63"/>
        <v>0</v>
      </c>
      <c r="P156" s="1677">
        <f t="shared" si="63"/>
        <v>0</v>
      </c>
      <c r="Q156" s="516"/>
    </row>
    <row r="157" spans="2:17" ht="16.5" thickTop="1" thickBot="1" x14ac:dyDescent="0.3">
      <c r="B157" s="517"/>
      <c r="C157" s="540" t="s">
        <v>453</v>
      </c>
      <c r="D157" s="532"/>
      <c r="E157" s="515"/>
      <c r="F157" s="532"/>
      <c r="G157" s="532"/>
      <c r="H157" s="575"/>
      <c r="I157" s="476">
        <f>I148+I152+I154+I156</f>
        <v>536874.83601202711</v>
      </c>
      <c r="J157" s="477">
        <f t="shared" ref="J157:P157" si="64">J148+J152+J154+J156</f>
        <v>555300.84981607727</v>
      </c>
      <c r="K157" s="477">
        <f t="shared" si="64"/>
        <v>574367.67266693898</v>
      </c>
      <c r="L157" s="477">
        <f t="shared" si="64"/>
        <v>594097.83089334529</v>
      </c>
      <c r="M157" s="477">
        <f t="shared" si="64"/>
        <v>614514.64971775759</v>
      </c>
      <c r="N157" s="477">
        <f t="shared" si="64"/>
        <v>751982.77807491564</v>
      </c>
      <c r="O157" s="477">
        <f t="shared" si="64"/>
        <v>777918.15045350289</v>
      </c>
      <c r="P157" s="478">
        <f t="shared" si="64"/>
        <v>804757.76017674268</v>
      </c>
      <c r="Q157" s="516"/>
    </row>
    <row r="158" spans="2:17" ht="7.5" customHeight="1" thickBot="1" x14ac:dyDescent="0.3">
      <c r="B158" s="517"/>
      <c r="C158" s="532"/>
      <c r="D158" s="532"/>
      <c r="E158" s="532"/>
      <c r="F158" s="532"/>
      <c r="G158" s="532"/>
      <c r="H158" s="532"/>
      <c r="I158" s="576"/>
      <c r="J158" s="576"/>
      <c r="K158" s="576"/>
      <c r="L158" s="576"/>
      <c r="M158" s="576"/>
      <c r="N158" s="576"/>
      <c r="O158" s="576"/>
      <c r="P158" s="576"/>
      <c r="Q158" s="516"/>
    </row>
    <row r="159" spans="2:17" ht="15.75" thickBot="1" x14ac:dyDescent="0.3">
      <c r="B159" s="517"/>
      <c r="C159" s="540" t="s">
        <v>454</v>
      </c>
      <c r="D159" s="532"/>
      <c r="E159" s="532"/>
      <c r="F159" s="532"/>
      <c r="G159" s="532"/>
      <c r="H159" s="532"/>
      <c r="I159" s="479">
        <f>I123-I157</f>
        <v>628573.65646345203</v>
      </c>
      <c r="J159" s="480">
        <f>J123-J157</f>
        <v>639283.85497128882</v>
      </c>
      <c r="K159" s="480">
        <f t="shared" ref="K159:P159" si="65">K123-K157</f>
        <v>650081.64974011155</v>
      </c>
      <c r="L159" s="480">
        <f t="shared" si="65"/>
        <v>660962.72457388125</v>
      </c>
      <c r="M159" s="480">
        <f t="shared" si="65"/>
        <v>671922.41963614954</v>
      </c>
      <c r="N159" s="480">
        <f t="shared" si="65"/>
        <v>566615.21801283921</v>
      </c>
      <c r="O159" s="480">
        <f t="shared" si="65"/>
        <v>573644.7955364458</v>
      </c>
      <c r="P159" s="481">
        <f t="shared" si="65"/>
        <v>580594.25946295471</v>
      </c>
      <c r="Q159" s="516"/>
    </row>
    <row r="160" spans="2:17" x14ac:dyDescent="0.25">
      <c r="B160" s="394"/>
      <c r="C160" s="354"/>
      <c r="D160" s="354"/>
      <c r="E160" s="354"/>
      <c r="F160" s="354"/>
      <c r="G160" s="354"/>
      <c r="H160" s="354"/>
      <c r="I160" s="354"/>
      <c r="J160" s="354"/>
      <c r="K160" s="354"/>
      <c r="L160" s="354"/>
      <c r="M160" s="354"/>
      <c r="N160" s="354"/>
      <c r="O160" s="354"/>
      <c r="P160" s="354"/>
      <c r="Q160" s="355"/>
    </row>
    <row r="161" spans="2:17" ht="15.75" thickBot="1" x14ac:dyDescent="0.3">
      <c r="B161" s="394"/>
      <c r="C161" s="2473" t="s">
        <v>455</v>
      </c>
      <c r="D161" s="2473"/>
      <c r="E161" s="2473"/>
      <c r="F161" s="482"/>
      <c r="G161" s="482"/>
      <c r="H161" s="482"/>
      <c r="I161" s="482"/>
      <c r="J161" s="482"/>
      <c r="K161" s="482"/>
      <c r="L161" s="482"/>
      <c r="M161" s="1351"/>
      <c r="N161" s="1351"/>
      <c r="O161" s="1351"/>
      <c r="P161" s="1351"/>
      <c r="Q161" s="355"/>
    </row>
    <row r="162" spans="2:17" ht="15.75" thickBot="1" x14ac:dyDescent="0.3">
      <c r="B162" s="394"/>
      <c r="C162" s="589" t="s">
        <v>456</v>
      </c>
      <c r="D162" s="524"/>
      <c r="E162" s="1208"/>
      <c r="F162" s="1208"/>
      <c r="G162" s="1208"/>
      <c r="H162" s="1208"/>
      <c r="I162" s="446" t="s">
        <v>468</v>
      </c>
      <c r="J162" s="508" t="s">
        <v>469</v>
      </c>
      <c r="K162" s="509" t="s">
        <v>470</v>
      </c>
      <c r="L162" s="509" t="s">
        <v>471</v>
      </c>
      <c r="M162" s="509" t="s">
        <v>472</v>
      </c>
      <c r="N162" s="509" t="s">
        <v>473</v>
      </c>
      <c r="O162" s="509" t="s">
        <v>474</v>
      </c>
      <c r="P162" s="510" t="s">
        <v>475</v>
      </c>
      <c r="Q162" s="355"/>
    </row>
    <row r="163" spans="2:17" x14ac:dyDescent="0.25">
      <c r="B163" s="394"/>
      <c r="C163" s="2513" t="str">
        <f>IF(C82="Lender 1","",C82)</f>
        <v>Lender 1 - 4% Bonds</v>
      </c>
      <c r="D163" s="2502"/>
      <c r="E163" s="2502"/>
      <c r="F163" s="2502"/>
      <c r="G163" s="2502"/>
      <c r="H163" s="2503"/>
      <c r="I163" s="1678">
        <f>P82</f>
        <v>459280</v>
      </c>
      <c r="J163" s="1699">
        <f>I163</f>
        <v>459280</v>
      </c>
      <c r="K163" s="1699">
        <f t="shared" ref="K163:P163" si="66">J163</f>
        <v>459280</v>
      </c>
      <c r="L163" s="1699">
        <f t="shared" si="66"/>
        <v>459280</v>
      </c>
      <c r="M163" s="1699">
        <f t="shared" si="66"/>
        <v>459280</v>
      </c>
      <c r="N163" s="1699">
        <f t="shared" si="66"/>
        <v>459280</v>
      </c>
      <c r="O163" s="1699">
        <f t="shared" si="66"/>
        <v>459280</v>
      </c>
      <c r="P163" s="1700">
        <f t="shared" si="66"/>
        <v>459280</v>
      </c>
      <c r="Q163" s="355"/>
    </row>
    <row r="164" spans="2:17" x14ac:dyDescent="0.25">
      <c r="B164" s="394"/>
      <c r="C164" s="2498">
        <f>IF(C83="Lender 2","",C83)</f>
        <v>0</v>
      </c>
      <c r="D164" s="2499"/>
      <c r="E164" s="2499"/>
      <c r="F164" s="2499"/>
      <c r="G164" s="2499"/>
      <c r="H164" s="2500"/>
      <c r="I164" s="1681">
        <v>0</v>
      </c>
      <c r="J164" s="1701">
        <v>0</v>
      </c>
      <c r="K164" s="1701">
        <v>0</v>
      </c>
      <c r="L164" s="1701">
        <v>0</v>
      </c>
      <c r="M164" s="1701">
        <v>0</v>
      </c>
      <c r="N164" s="1701">
        <v>0</v>
      </c>
      <c r="O164" s="1701">
        <v>0</v>
      </c>
      <c r="P164" s="1702">
        <v>0</v>
      </c>
      <c r="Q164" s="355"/>
    </row>
    <row r="165" spans="2:17" ht="15.75" thickBot="1" x14ac:dyDescent="0.3">
      <c r="B165" s="394"/>
      <c r="C165" s="2495" t="s">
        <v>460</v>
      </c>
      <c r="D165" s="2511"/>
      <c r="E165" s="2511"/>
      <c r="F165" s="2511"/>
      <c r="G165" s="2511"/>
      <c r="H165" s="2512"/>
      <c r="I165" s="1684">
        <v>0</v>
      </c>
      <c r="J165" s="1703">
        <v>0</v>
      </c>
      <c r="K165" s="1703">
        <v>0</v>
      </c>
      <c r="L165" s="1703">
        <v>0</v>
      </c>
      <c r="M165" s="1703">
        <v>0</v>
      </c>
      <c r="N165" s="1703">
        <v>0</v>
      </c>
      <c r="O165" s="1703">
        <v>0</v>
      </c>
      <c r="P165" s="1704">
        <v>0</v>
      </c>
      <c r="Q165" s="355"/>
    </row>
    <row r="166" spans="2:17" ht="15.75" thickTop="1" x14ac:dyDescent="0.25">
      <c r="B166" s="394"/>
      <c r="C166" s="1208"/>
      <c r="D166" s="1208"/>
      <c r="E166" s="1352"/>
      <c r="F166" s="1353"/>
      <c r="G166" s="1353"/>
      <c r="H166" s="1354" t="s">
        <v>461</v>
      </c>
      <c r="I166" s="483">
        <f>SUM(I163:I165)</f>
        <v>459280</v>
      </c>
      <c r="J166" s="484">
        <f t="shared" ref="J166:P166" si="67">SUM(J163:J165)</f>
        <v>459280</v>
      </c>
      <c r="K166" s="484">
        <f t="shared" si="67"/>
        <v>459280</v>
      </c>
      <c r="L166" s="484">
        <f t="shared" si="67"/>
        <v>459280</v>
      </c>
      <c r="M166" s="484">
        <f t="shared" si="67"/>
        <v>459280</v>
      </c>
      <c r="N166" s="484">
        <f t="shared" si="67"/>
        <v>459280</v>
      </c>
      <c r="O166" s="484">
        <f t="shared" si="67"/>
        <v>459280</v>
      </c>
      <c r="P166" s="485">
        <f t="shared" si="67"/>
        <v>459280</v>
      </c>
      <c r="Q166" s="355"/>
    </row>
    <row r="167" spans="2:17" x14ac:dyDescent="0.25">
      <c r="B167" s="394"/>
      <c r="C167" s="1208"/>
      <c r="D167" s="1208"/>
      <c r="E167" s="1208"/>
      <c r="F167" s="793"/>
      <c r="G167" s="793"/>
      <c r="H167" s="793" t="s">
        <v>462</v>
      </c>
      <c r="I167" s="2071">
        <f t="shared" ref="I167:P167" si="68">IFERROR(I159/I166,"$0 ")</f>
        <v>1.3686066374835657</v>
      </c>
      <c r="J167" s="2072">
        <f t="shared" si="68"/>
        <v>1.3919261778681606</v>
      </c>
      <c r="K167" s="2072">
        <f t="shared" si="68"/>
        <v>1.4154364434334428</v>
      </c>
      <c r="L167" s="2072">
        <f t="shared" si="68"/>
        <v>1.4391280364350314</v>
      </c>
      <c r="M167" s="2072">
        <f t="shared" si="68"/>
        <v>1.4629908109130585</v>
      </c>
      <c r="N167" s="2072">
        <f t="shared" si="68"/>
        <v>1.2337032268177131</v>
      </c>
      <c r="O167" s="2072">
        <f t="shared" si="68"/>
        <v>1.2490088737511884</v>
      </c>
      <c r="P167" s="2076">
        <f t="shared" si="68"/>
        <v>1.2641400876653779</v>
      </c>
      <c r="Q167" s="355"/>
    </row>
    <row r="168" spans="2:17" ht="15.75" thickBot="1" x14ac:dyDescent="0.3">
      <c r="B168" s="394"/>
      <c r="C168" s="1208"/>
      <c r="D168" s="1208"/>
      <c r="E168" s="2491" t="s">
        <v>463</v>
      </c>
      <c r="F168" s="2491"/>
      <c r="G168" s="2491"/>
      <c r="H168" s="2492"/>
      <c r="I168" s="486">
        <f>I159-I166</f>
        <v>169293.65646345203</v>
      </c>
      <c r="J168" s="487">
        <f t="shared" ref="J168:P168" si="69">J159-J166</f>
        <v>180003.85497128882</v>
      </c>
      <c r="K168" s="487">
        <f t="shared" si="69"/>
        <v>190801.64974011155</v>
      </c>
      <c r="L168" s="487">
        <f t="shared" si="69"/>
        <v>201682.72457388125</v>
      </c>
      <c r="M168" s="487">
        <f t="shared" si="69"/>
        <v>212642.41963614954</v>
      </c>
      <c r="N168" s="487">
        <f t="shared" si="69"/>
        <v>107335.21801283921</v>
      </c>
      <c r="O168" s="487">
        <f t="shared" si="69"/>
        <v>114364.7955364458</v>
      </c>
      <c r="P168" s="488">
        <f t="shared" si="69"/>
        <v>121314.25946295471</v>
      </c>
      <c r="Q168" s="355"/>
    </row>
    <row r="169" spans="2:17" ht="15.75" thickBot="1" x14ac:dyDescent="0.3">
      <c r="B169" s="394"/>
      <c r="C169" s="1208"/>
      <c r="D169" s="1208"/>
      <c r="E169" s="1208"/>
      <c r="F169" s="1208"/>
      <c r="G169" s="1208"/>
      <c r="H169" s="1208"/>
      <c r="I169" s="1208"/>
      <c r="J169" s="1208"/>
      <c r="K169" s="1208"/>
      <c r="L169" s="1208"/>
      <c r="M169" s="1208"/>
      <c r="N169" s="1208"/>
      <c r="O169" s="1208"/>
      <c r="P169" s="1208"/>
      <c r="Q169" s="355"/>
    </row>
    <row r="170" spans="2:17" ht="15.75" thickBot="1" x14ac:dyDescent="0.3">
      <c r="B170" s="394"/>
      <c r="C170" s="589" t="s">
        <v>464</v>
      </c>
      <c r="D170" s="1208"/>
      <c r="E170" s="1208"/>
      <c r="F170" s="1208"/>
      <c r="G170" s="1208"/>
      <c r="H170" s="1208"/>
      <c r="I170" s="446" t="s">
        <v>468</v>
      </c>
      <c r="J170" s="508" t="s">
        <v>469</v>
      </c>
      <c r="K170" s="509" t="s">
        <v>470</v>
      </c>
      <c r="L170" s="509" t="s">
        <v>471</v>
      </c>
      <c r="M170" s="509" t="s">
        <v>472</v>
      </c>
      <c r="N170" s="509" t="s">
        <v>473</v>
      </c>
      <c r="O170" s="509" t="s">
        <v>474</v>
      </c>
      <c r="P170" s="510" t="s">
        <v>475</v>
      </c>
      <c r="Q170" s="355"/>
    </row>
    <row r="171" spans="2:17" x14ac:dyDescent="0.25">
      <c r="B171" s="394"/>
      <c r="C171" s="2514" t="str">
        <f>IF(C90="Lender 4","",C90)</f>
        <v xml:space="preserve">Lender 2 - Office Of Housing </v>
      </c>
      <c r="D171" s="2515"/>
      <c r="E171" s="2515"/>
      <c r="F171" s="2515"/>
      <c r="G171" s="2515"/>
      <c r="H171" s="2516"/>
      <c r="I171" s="1705">
        <v>0</v>
      </c>
      <c r="J171" s="1706">
        <v>0</v>
      </c>
      <c r="K171" s="1706">
        <v>0</v>
      </c>
      <c r="L171" s="1706">
        <v>0</v>
      </c>
      <c r="M171" s="1706">
        <v>0</v>
      </c>
      <c r="N171" s="1706">
        <v>0</v>
      </c>
      <c r="O171" s="1706">
        <v>0</v>
      </c>
      <c r="P171" s="1707">
        <v>0</v>
      </c>
      <c r="Q171" s="355"/>
    </row>
    <row r="172" spans="2:17" x14ac:dyDescent="0.25">
      <c r="B172" s="394"/>
      <c r="C172" s="2508" t="str">
        <f>IF(C91="Lender 5","",C91)</f>
        <v>Reserve Set Aside for Property Taxes in YR 13, 14, 15</v>
      </c>
      <c r="D172" s="2509"/>
      <c r="E172" s="2509"/>
      <c r="F172" s="2509"/>
      <c r="G172" s="2509"/>
      <c r="H172" s="2510"/>
      <c r="I172" s="1708">
        <f>1.035*P91</f>
        <v>19084.188941498593</v>
      </c>
      <c r="J172" s="1709">
        <f>1.035*I172</f>
        <v>19752.135554451041</v>
      </c>
      <c r="K172" s="1709">
        <f>1.035*J172</f>
        <v>20443.460298856826</v>
      </c>
      <c r="L172" s="1709">
        <f>1.035*K172</f>
        <v>21158.981409316813</v>
      </c>
      <c r="M172" s="1709">
        <f>1.035*L172</f>
        <v>21899.5457586429</v>
      </c>
      <c r="N172" s="1709">
        <v>0</v>
      </c>
      <c r="O172" s="1709">
        <v>0</v>
      </c>
      <c r="P172" s="1710">
        <v>0</v>
      </c>
      <c r="Q172" s="355"/>
    </row>
    <row r="173" spans="2:17" x14ac:dyDescent="0.25">
      <c r="B173" s="394"/>
      <c r="C173" s="2508">
        <f>IF(C92="Lender 6","",C92)</f>
        <v>0</v>
      </c>
      <c r="D173" s="2509"/>
      <c r="E173" s="2509"/>
      <c r="F173" s="2509"/>
      <c r="G173" s="2509"/>
      <c r="H173" s="2510"/>
      <c r="I173" s="1708">
        <v>0</v>
      </c>
      <c r="J173" s="1709">
        <v>0</v>
      </c>
      <c r="K173" s="1709">
        <v>0</v>
      </c>
      <c r="L173" s="1709">
        <v>0</v>
      </c>
      <c r="M173" s="1709">
        <v>0</v>
      </c>
      <c r="N173" s="1709">
        <v>0</v>
      </c>
      <c r="O173" s="1709">
        <v>0</v>
      </c>
      <c r="P173" s="1710">
        <v>0</v>
      </c>
      <c r="Q173" s="355"/>
    </row>
    <row r="174" spans="2:17" ht="15.75" thickBot="1" x14ac:dyDescent="0.3">
      <c r="B174" s="394"/>
      <c r="C174" s="2495" t="s">
        <v>460</v>
      </c>
      <c r="D174" s="2511"/>
      <c r="E174" s="2511"/>
      <c r="F174" s="2511"/>
      <c r="G174" s="2511"/>
      <c r="H174" s="2512"/>
      <c r="I174" s="1711">
        <v>0</v>
      </c>
      <c r="J174" s="1712">
        <v>0</v>
      </c>
      <c r="K174" s="1712">
        <v>0</v>
      </c>
      <c r="L174" s="1712">
        <v>0</v>
      </c>
      <c r="M174" s="1712">
        <v>0</v>
      </c>
      <c r="N174" s="1712">
        <v>0</v>
      </c>
      <c r="O174" s="1712">
        <v>0</v>
      </c>
      <c r="P174" s="1713">
        <v>0</v>
      </c>
      <c r="Q174" s="355"/>
    </row>
    <row r="175" spans="2:17" ht="16.5" thickTop="1" thickBot="1" x14ac:dyDescent="0.3">
      <c r="B175" s="394"/>
      <c r="C175" s="1366"/>
      <c r="D175" s="590"/>
      <c r="E175" s="2491" t="s">
        <v>465</v>
      </c>
      <c r="F175" s="2504"/>
      <c r="G175" s="2504"/>
      <c r="H175" s="2505"/>
      <c r="I175" s="489">
        <f>SUM(I171:I174)</f>
        <v>19084.188941498593</v>
      </c>
      <c r="J175" s="490">
        <f t="shared" ref="J175:P175" si="70">SUM(J171:J174)</f>
        <v>19752.135554451041</v>
      </c>
      <c r="K175" s="490">
        <f t="shared" si="70"/>
        <v>20443.460298856826</v>
      </c>
      <c r="L175" s="490">
        <f t="shared" si="70"/>
        <v>21158.981409316813</v>
      </c>
      <c r="M175" s="490">
        <f t="shared" si="70"/>
        <v>21899.5457586429</v>
      </c>
      <c r="N175" s="490">
        <f t="shared" si="70"/>
        <v>0</v>
      </c>
      <c r="O175" s="490">
        <f t="shared" si="70"/>
        <v>0</v>
      </c>
      <c r="P175" s="491">
        <f t="shared" si="70"/>
        <v>0</v>
      </c>
      <c r="Q175" s="355"/>
    </row>
    <row r="176" spans="2:17" ht="7.5" customHeight="1" thickBot="1" x14ac:dyDescent="0.3">
      <c r="B176" s="394"/>
      <c r="C176" s="354"/>
      <c r="D176" s="793"/>
      <c r="E176" s="1208"/>
      <c r="F176" s="1208"/>
      <c r="G176" s="1208"/>
      <c r="H176" s="1208"/>
      <c r="I176" s="1208"/>
      <c r="J176" s="1208"/>
      <c r="K176" s="1208"/>
      <c r="L176" s="1208"/>
      <c r="M176" s="1208"/>
      <c r="N176" s="1208"/>
      <c r="O176" s="1208"/>
      <c r="P176" s="1208"/>
      <c r="Q176" s="355"/>
    </row>
    <row r="177" spans="2:17" x14ac:dyDescent="0.25">
      <c r="B177" s="394"/>
      <c r="C177" s="354"/>
      <c r="D177" s="793"/>
      <c r="E177" s="2491" t="s">
        <v>466</v>
      </c>
      <c r="F177" s="2491"/>
      <c r="G177" s="2491"/>
      <c r="H177" s="2492"/>
      <c r="I177" s="2073">
        <f>IFERROR(I159/(I166+I175),"$0 ")</f>
        <v>1.3140065059099215</v>
      </c>
      <c r="J177" s="2074">
        <f t="shared" ref="J177:P177" si="71">IFERROR(J159/(J166+J175),"$0 ")</f>
        <v>1.3345322944385682</v>
      </c>
      <c r="K177" s="2074">
        <f t="shared" si="71"/>
        <v>1.3551174865100937</v>
      </c>
      <c r="L177" s="2074">
        <f t="shared" si="71"/>
        <v>1.3757474937504388</v>
      </c>
      <c r="M177" s="2074">
        <f t="shared" si="71"/>
        <v>1.3964068621761039</v>
      </c>
      <c r="N177" s="2074">
        <f t="shared" si="71"/>
        <v>1.2337032268177131</v>
      </c>
      <c r="O177" s="2074">
        <f t="shared" si="71"/>
        <v>1.2490088737511884</v>
      </c>
      <c r="P177" s="2075">
        <f t="shared" si="71"/>
        <v>1.2641400876653779</v>
      </c>
      <c r="Q177" s="355"/>
    </row>
    <row r="178" spans="2:17" ht="15.75" thickBot="1" x14ac:dyDescent="0.3">
      <c r="B178" s="394"/>
      <c r="C178" s="811"/>
      <c r="D178" s="793"/>
      <c r="E178" s="2491" t="s">
        <v>467</v>
      </c>
      <c r="F178" s="2493"/>
      <c r="G178" s="2493"/>
      <c r="H178" s="2494"/>
      <c r="I178" s="1356">
        <f>I168-I175</f>
        <v>150209.46752195345</v>
      </c>
      <c r="J178" s="1358">
        <f t="shared" ref="J178:O178" si="72">J168-J175</f>
        <v>160251.71941683779</v>
      </c>
      <c r="K178" s="1358">
        <f t="shared" si="72"/>
        <v>170358.18944125471</v>
      </c>
      <c r="L178" s="1358">
        <f t="shared" si="72"/>
        <v>180523.74316456442</v>
      </c>
      <c r="M178" s="1358">
        <f t="shared" si="72"/>
        <v>190742.87387750664</v>
      </c>
      <c r="N178" s="1358">
        <f t="shared" si="72"/>
        <v>107335.21801283921</v>
      </c>
      <c r="O178" s="1358">
        <f t="shared" si="72"/>
        <v>114364.7955364458</v>
      </c>
      <c r="P178" s="1359">
        <f>P168-P175</f>
        <v>121314.25946295471</v>
      </c>
      <c r="Q178" s="355"/>
    </row>
    <row r="179" spans="2:17" ht="9" customHeight="1" thickBot="1" x14ac:dyDescent="0.3">
      <c r="B179" s="1367"/>
      <c r="C179" s="698"/>
      <c r="D179" s="698"/>
      <c r="E179" s="698"/>
      <c r="F179" s="698"/>
      <c r="G179" s="698"/>
      <c r="H179" s="698"/>
      <c r="I179" s="698"/>
      <c r="J179" s="698"/>
      <c r="K179" s="698"/>
      <c r="L179" s="698"/>
      <c r="M179" s="698"/>
      <c r="N179" s="698"/>
      <c r="O179" s="698"/>
      <c r="P179" s="698"/>
      <c r="Q179" s="1368"/>
    </row>
  </sheetData>
  <sheetProtection password="9F6B" sheet="1" objects="1" scenarios="1" formatCells="0" formatColumns="0" formatRows="0"/>
  <mergeCells count="38">
    <mergeCell ref="D31:F31"/>
    <mergeCell ref="D32:F32"/>
    <mergeCell ref="C80:E80"/>
    <mergeCell ref="H81:I81"/>
    <mergeCell ref="H82:I82"/>
    <mergeCell ref="H83:I83"/>
    <mergeCell ref="C82:G82"/>
    <mergeCell ref="C83:G83"/>
    <mergeCell ref="H84:I84"/>
    <mergeCell ref="H89:I89"/>
    <mergeCell ref="C84:G84"/>
    <mergeCell ref="F87:I87"/>
    <mergeCell ref="H90:I90"/>
    <mergeCell ref="E177:H177"/>
    <mergeCell ref="H91:I91"/>
    <mergeCell ref="H93:I93"/>
    <mergeCell ref="F94:I94"/>
    <mergeCell ref="F96:I96"/>
    <mergeCell ref="H92:I92"/>
    <mergeCell ref="C90:G90"/>
    <mergeCell ref="C91:G91"/>
    <mergeCell ref="C92:G92"/>
    <mergeCell ref="C93:G93"/>
    <mergeCell ref="E178:H178"/>
    <mergeCell ref="E175:H175"/>
    <mergeCell ref="E168:H168"/>
    <mergeCell ref="F97:I97"/>
    <mergeCell ref="C173:H173"/>
    <mergeCell ref="C174:H174"/>
    <mergeCell ref="C164:H164"/>
    <mergeCell ref="C165:H165"/>
    <mergeCell ref="C161:E161"/>
    <mergeCell ref="C163:H163"/>
    <mergeCell ref="D112:F112"/>
    <mergeCell ref="D113:F113"/>
    <mergeCell ref="C171:H171"/>
    <mergeCell ref="C172:H172"/>
    <mergeCell ref="C100:P100"/>
  </mergeCells>
  <conditionalFormatting sqref="N21">
    <cfRule type="cellIs" dxfId="5" priority="2" operator="equal">
      <formula>"X"</formula>
    </cfRule>
  </conditionalFormatting>
  <conditionalFormatting sqref="M21">
    <cfRule type="expression" dxfId="4" priority="1">
      <formula>$N$21&lt;&gt;""</formula>
    </cfRule>
  </conditionalFormatting>
  <dataValidations count="1">
    <dataValidation type="list" allowBlank="1" showInputMessage="1" showErrorMessage="1" sqref="N21">
      <formula1>"X"</formula1>
    </dataValidation>
  </dataValidations>
  <pageMargins left="0.7" right="0.7" top="0.75" bottom="0.75" header="0.3" footer="0.3"/>
  <pageSetup paperSize="17" scale="95" fitToHeight="0" orientation="portrait" r:id="rId1"/>
  <headerFooter>
    <oddFooter>&amp;LForm 8E(a)
Operating Pro Forma&amp;CCFA Forms&amp;REdition: 2015
Version: 1.1</oddFooter>
  </headerFooter>
  <rowBreaks count="1" manualBreakCount="1">
    <brk id="98" min="1" max="16"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7:Q179"/>
  <sheetViews>
    <sheetView showGridLines="0" zoomScaleNormal="100" workbookViewId="0">
      <selection activeCell="J47" sqref="J47"/>
    </sheetView>
  </sheetViews>
  <sheetFormatPr defaultRowHeight="15" x14ac:dyDescent="0.25"/>
  <cols>
    <col min="1" max="2" width="1.7109375" style="839" customWidth="1"/>
    <col min="3" max="3" width="14.28515625" style="839" customWidth="1"/>
    <col min="4" max="4" width="9.140625" style="839" customWidth="1"/>
    <col min="5" max="6" width="9.140625" style="839"/>
    <col min="7" max="7" width="1.42578125" style="839" customWidth="1"/>
    <col min="8" max="16" width="9.140625" style="839"/>
    <col min="17" max="17" width="1.7109375" style="839" customWidth="1"/>
    <col min="18" max="16384" width="9.140625" style="839"/>
  </cols>
  <sheetData>
    <row r="17" spans="2:17" ht="15.75" thickBot="1" x14ac:dyDescent="0.3"/>
    <row r="18" spans="2:17" ht="9" customHeight="1" x14ac:dyDescent="0.25">
      <c r="B18" s="511"/>
      <c r="C18" s="512"/>
      <c r="D18" s="512"/>
      <c r="E18" s="512"/>
      <c r="F18" s="512"/>
      <c r="G18" s="512"/>
      <c r="H18" s="512"/>
      <c r="I18" s="512"/>
      <c r="J18" s="512"/>
      <c r="K18" s="512"/>
      <c r="L18" s="512"/>
      <c r="M18" s="512"/>
      <c r="N18" s="512"/>
      <c r="O18" s="512"/>
      <c r="P18" s="512"/>
      <c r="Q18" s="513"/>
    </row>
    <row r="19" spans="2:17" ht="18.75" x14ac:dyDescent="0.3">
      <c r="B19" s="514"/>
      <c r="C19" s="1829" t="s">
        <v>1388</v>
      </c>
      <c r="D19" s="1830"/>
      <c r="E19" s="1830"/>
      <c r="F19" s="1830"/>
      <c r="G19" s="1830"/>
      <c r="H19" s="1830"/>
      <c r="I19" s="1830"/>
      <c r="J19" s="1830"/>
      <c r="K19" s="1830"/>
      <c r="L19" s="1830"/>
      <c r="M19" s="1830"/>
      <c r="N19" s="1830"/>
      <c r="O19" s="1830"/>
      <c r="P19" s="1830"/>
      <c r="Q19" s="516"/>
    </row>
    <row r="20" spans="2:17" x14ac:dyDescent="0.25">
      <c r="B20" s="514"/>
      <c r="C20" s="515"/>
      <c r="D20" s="515"/>
      <c r="E20" s="515"/>
      <c r="F20" s="515"/>
      <c r="G20" s="515"/>
      <c r="H20" s="515"/>
      <c r="I20" s="515"/>
      <c r="J20" s="515"/>
      <c r="K20" s="515"/>
      <c r="L20" s="515"/>
      <c r="M20" s="515"/>
      <c r="N20" s="515"/>
      <c r="O20" s="515"/>
      <c r="P20" s="515"/>
      <c r="Q20" s="516"/>
    </row>
    <row r="21" spans="2:17" x14ac:dyDescent="0.25">
      <c r="B21" s="514"/>
      <c r="C21" s="1123" t="s">
        <v>59</v>
      </c>
      <c r="D21" s="1803" t="str">
        <f>IF('1A'!G5="","Enter Project Name on Form 1A",'1A'!G5)</f>
        <v>University District Apartments</v>
      </c>
      <c r="E21" s="1803"/>
      <c r="F21" s="1803"/>
      <c r="G21" s="1803"/>
      <c r="H21" s="1803"/>
      <c r="I21" s="1803"/>
      <c r="J21" s="1803"/>
      <c r="K21" s="1208"/>
      <c r="L21" s="1208"/>
      <c r="M21" s="787" t="s">
        <v>1076</v>
      </c>
      <c r="N21" s="1742"/>
      <c r="O21" s="1123"/>
      <c r="P21" s="1123"/>
      <c r="Q21" s="516"/>
    </row>
    <row r="22" spans="2:17" ht="3.75" customHeight="1" x14ac:dyDescent="0.25">
      <c r="B22" s="514"/>
      <c r="C22" s="1123"/>
      <c r="D22" s="1123"/>
      <c r="E22" s="1123"/>
      <c r="F22" s="1123"/>
      <c r="G22" s="1123"/>
      <c r="H22" s="1123"/>
      <c r="I22" s="1123"/>
      <c r="J22" s="1208"/>
      <c r="K22" s="1208"/>
      <c r="L22" s="1208"/>
      <c r="M22" s="1208"/>
      <c r="N22" s="1123"/>
      <c r="O22" s="1123"/>
      <c r="P22" s="1123"/>
      <c r="Q22" s="516"/>
    </row>
    <row r="23" spans="2:17" x14ac:dyDescent="0.25">
      <c r="B23" s="517"/>
      <c r="C23" s="1123" t="s">
        <v>1400</v>
      </c>
      <c r="D23" s="1822" t="str">
        <f>IF('1A'!G44="","Enter Site Name on Form 1A",'1A'!G44)</f>
        <v>Project B - 9%</v>
      </c>
      <c r="E23" s="1822"/>
      <c r="F23" s="1822"/>
      <c r="G23" s="1822"/>
      <c r="H23" s="1822"/>
      <c r="I23" s="1822"/>
      <c r="J23" s="1822"/>
      <c r="K23" s="519"/>
      <c r="L23" s="519"/>
      <c r="M23" s="1385" t="s">
        <v>402</v>
      </c>
      <c r="N23" s="1370">
        <v>42262</v>
      </c>
      <c r="O23" s="520"/>
      <c r="P23" s="519"/>
      <c r="Q23" s="521"/>
    </row>
    <row r="24" spans="2:17" ht="7.5" customHeight="1" x14ac:dyDescent="0.25">
      <c r="B24" s="517"/>
      <c r="C24" s="522"/>
      <c r="D24" s="519"/>
      <c r="E24" s="518"/>
      <c r="F24" s="518"/>
      <c r="G24" s="518"/>
      <c r="H24" s="518"/>
      <c r="I24" s="518"/>
      <c r="J24" s="519"/>
      <c r="K24" s="519"/>
      <c r="L24" s="519"/>
      <c r="M24" s="519"/>
      <c r="N24" s="519"/>
      <c r="O24" s="520"/>
      <c r="P24" s="519"/>
      <c r="Q24" s="521"/>
    </row>
    <row r="25" spans="2:17" ht="15.75" thickBot="1" x14ac:dyDescent="0.3">
      <c r="B25" s="523"/>
      <c r="C25" s="592" t="s">
        <v>403</v>
      </c>
      <c r="D25" s="443"/>
      <c r="E25" s="444"/>
      <c r="F25" s="444"/>
      <c r="G25" s="444"/>
      <c r="H25" s="444"/>
      <c r="I25" s="444"/>
      <c r="J25" s="443"/>
      <c r="K25" s="443"/>
      <c r="L25" s="443"/>
      <c r="M25" s="443"/>
      <c r="N25" s="443"/>
      <c r="O25" s="445"/>
      <c r="P25" s="443"/>
      <c r="Q25" s="525"/>
    </row>
    <row r="26" spans="2:17" ht="15.75" thickBot="1" x14ac:dyDescent="0.3">
      <c r="B26" s="394"/>
      <c r="C26" s="1208"/>
      <c r="D26" s="515"/>
      <c r="E26" s="1208"/>
      <c r="F26" s="1208"/>
      <c r="G26" s="1208"/>
      <c r="H26" s="1208"/>
      <c r="I26" s="1208"/>
      <c r="J26" s="446" t="s">
        <v>404</v>
      </c>
      <c r="K26" s="447" t="s">
        <v>405</v>
      </c>
      <c r="L26" s="447" t="s">
        <v>406</v>
      </c>
      <c r="M26" s="447" t="s">
        <v>407</v>
      </c>
      <c r="N26" s="447" t="s">
        <v>408</v>
      </c>
      <c r="O26" s="447" t="s">
        <v>409</v>
      </c>
      <c r="P26" s="448" t="s">
        <v>410</v>
      </c>
      <c r="Q26" s="944"/>
    </row>
    <row r="27" spans="2:17" ht="15.75" thickBot="1" x14ac:dyDescent="0.3">
      <c r="B27" s="394"/>
      <c r="C27" s="524" t="s">
        <v>411</v>
      </c>
      <c r="D27" s="942"/>
      <c r="E27" s="1208"/>
      <c r="F27" s="1208"/>
      <c r="G27" s="1208"/>
      <c r="H27" s="449" t="s">
        <v>412</v>
      </c>
      <c r="I27" s="1208"/>
      <c r="J27" s="450"/>
      <c r="K27" s="451"/>
      <c r="L27" s="451"/>
      <c r="M27" s="451"/>
      <c r="N27" s="451"/>
      <c r="O27" s="451"/>
      <c r="P27" s="452"/>
      <c r="Q27" s="944"/>
    </row>
    <row r="28" spans="2:17" x14ac:dyDescent="0.25">
      <c r="B28" s="394"/>
      <c r="C28" s="526" t="s">
        <v>413</v>
      </c>
      <c r="D28" s="1327"/>
      <c r="E28" s="1327"/>
      <c r="F28" s="1327"/>
      <c r="G28" s="1328"/>
      <c r="H28" s="1659">
        <v>2.5000000000000001E-2</v>
      </c>
      <c r="I28" s="1329"/>
      <c r="J28" s="2046">
        <f>'8A - 9%'!L25</f>
        <v>368964</v>
      </c>
      <c r="K28" s="527">
        <f>J28+(J28*$H28)</f>
        <v>378188.1</v>
      </c>
      <c r="L28" s="527">
        <f t="shared" ref="L28:P29" si="0">K28+(K28*$H28)</f>
        <v>387642.80249999999</v>
      </c>
      <c r="M28" s="527">
        <f t="shared" si="0"/>
        <v>397333.87256250001</v>
      </c>
      <c r="N28" s="527">
        <f t="shared" si="0"/>
        <v>407267.21937656251</v>
      </c>
      <c r="O28" s="527">
        <f t="shared" si="0"/>
        <v>417448.89986097655</v>
      </c>
      <c r="P28" s="528">
        <f t="shared" si="0"/>
        <v>427885.12235750095</v>
      </c>
      <c r="Q28" s="944"/>
    </row>
    <row r="29" spans="2:17" ht="15.75" thickBot="1" x14ac:dyDescent="0.3">
      <c r="B29" s="394"/>
      <c r="C29" s="529" t="s">
        <v>361</v>
      </c>
      <c r="D29" s="530"/>
      <c r="E29" s="1330"/>
      <c r="F29" s="1330"/>
      <c r="G29" s="1331"/>
      <c r="H29" s="1660">
        <v>2.5000000000000001E-2</v>
      </c>
      <c r="I29" s="1332"/>
      <c r="J29" s="2047">
        <f>'8A - 9%'!M25</f>
        <v>0</v>
      </c>
      <c r="K29" s="527">
        <f>J29+(J29*$H29)</f>
        <v>0</v>
      </c>
      <c r="L29" s="527">
        <f t="shared" si="0"/>
        <v>0</v>
      </c>
      <c r="M29" s="527">
        <f t="shared" si="0"/>
        <v>0</v>
      </c>
      <c r="N29" s="527">
        <f t="shared" si="0"/>
        <v>0</v>
      </c>
      <c r="O29" s="527">
        <f t="shared" si="0"/>
        <v>0</v>
      </c>
      <c r="P29" s="528">
        <f t="shared" si="0"/>
        <v>0</v>
      </c>
      <c r="Q29" s="944"/>
    </row>
    <row r="30" spans="2:17" ht="15.75" thickBot="1" x14ac:dyDescent="0.3">
      <c r="B30" s="394"/>
      <c r="C30" s="529" t="s">
        <v>371</v>
      </c>
      <c r="D30" s="531"/>
      <c r="E30" s="1333"/>
      <c r="F30" s="1333"/>
      <c r="G30" s="942"/>
      <c r="H30" s="1334"/>
      <c r="I30" s="1331"/>
      <c r="J30" s="2048">
        <f>'8B - 9%'!H30</f>
        <v>0</v>
      </c>
      <c r="K30" s="527">
        <v>0</v>
      </c>
      <c r="L30" s="527">
        <v>0</v>
      </c>
      <c r="M30" s="527">
        <v>0</v>
      </c>
      <c r="N30" s="527">
        <v>0</v>
      </c>
      <c r="O30" s="527">
        <v>0</v>
      </c>
      <c r="P30" s="528">
        <v>0</v>
      </c>
      <c r="Q30" s="944"/>
    </row>
    <row r="31" spans="2:17" x14ac:dyDescent="0.25">
      <c r="B31" s="394"/>
      <c r="C31" s="529" t="s">
        <v>414</v>
      </c>
      <c r="D31" s="2535" t="s">
        <v>1577</v>
      </c>
      <c r="E31" s="2536"/>
      <c r="F31" s="2537"/>
      <c r="G31" s="942"/>
      <c r="H31" s="1659">
        <v>2.5000000000000001E-2</v>
      </c>
      <c r="I31" s="1332"/>
      <c r="J31" s="1662">
        <f>6625</f>
        <v>6625</v>
      </c>
      <c r="K31" s="527">
        <f t="shared" ref="K31:P31" si="1">J31+(J31*$H31)</f>
        <v>6790.625</v>
      </c>
      <c r="L31" s="527">
        <f t="shared" si="1"/>
        <v>6960.390625</v>
      </c>
      <c r="M31" s="527">
        <f t="shared" si="1"/>
        <v>7134.400390625</v>
      </c>
      <c r="N31" s="527">
        <f t="shared" si="1"/>
        <v>7312.7604003906254</v>
      </c>
      <c r="O31" s="527">
        <f t="shared" si="1"/>
        <v>7495.5794104003908</v>
      </c>
      <c r="P31" s="528">
        <f t="shared" si="1"/>
        <v>7682.9688956604004</v>
      </c>
      <c r="Q31" s="944"/>
    </row>
    <row r="32" spans="2:17" ht="15.75" thickBot="1" x14ac:dyDescent="0.3">
      <c r="B32" s="394"/>
      <c r="C32" s="529" t="s">
        <v>414</v>
      </c>
      <c r="D32" s="2535" t="s">
        <v>1579</v>
      </c>
      <c r="E32" s="2536"/>
      <c r="F32" s="2537"/>
      <c r="G32" s="942"/>
      <c r="H32" s="1661">
        <v>2.5000000000000001E-2</v>
      </c>
      <c r="I32" s="1332"/>
      <c r="J32" s="1663">
        <f>3975</f>
        <v>3975</v>
      </c>
      <c r="K32" s="527">
        <f t="shared" ref="K32:P32" si="2">J32+(J32*$H32)</f>
        <v>4074.375</v>
      </c>
      <c r="L32" s="527">
        <f t="shared" si="2"/>
        <v>4176.234375</v>
      </c>
      <c r="M32" s="527">
        <f t="shared" si="2"/>
        <v>4280.6402343749996</v>
      </c>
      <c r="N32" s="527">
        <f t="shared" si="2"/>
        <v>4387.6562402343743</v>
      </c>
      <c r="O32" s="527">
        <f t="shared" si="2"/>
        <v>4497.3476462402341</v>
      </c>
      <c r="P32" s="528">
        <f t="shared" si="2"/>
        <v>4609.7813373962399</v>
      </c>
      <c r="Q32" s="944"/>
    </row>
    <row r="33" spans="2:17" x14ac:dyDescent="0.25">
      <c r="B33" s="394"/>
      <c r="C33" s="532" t="s">
        <v>415</v>
      </c>
      <c r="D33" s="1208"/>
      <c r="E33" s="1208"/>
      <c r="F33" s="1208"/>
      <c r="G33" s="1208"/>
      <c r="H33" s="1208"/>
      <c r="I33" s="533" t="s">
        <v>416</v>
      </c>
      <c r="J33" s="453">
        <f>SUM(J28:J32)</f>
        <v>379564</v>
      </c>
      <c r="K33" s="454">
        <f t="shared" ref="K33:P33" si="3">SUM(K28:K32)</f>
        <v>389053.1</v>
      </c>
      <c r="L33" s="454">
        <f t="shared" si="3"/>
        <v>398779.42749999999</v>
      </c>
      <c r="M33" s="454">
        <f t="shared" si="3"/>
        <v>408748.91318750003</v>
      </c>
      <c r="N33" s="454">
        <f t="shared" si="3"/>
        <v>418967.6360171875</v>
      </c>
      <c r="O33" s="454">
        <f t="shared" si="3"/>
        <v>429441.82691761723</v>
      </c>
      <c r="P33" s="455">
        <f t="shared" si="3"/>
        <v>440177.87259055761</v>
      </c>
      <c r="Q33" s="944"/>
    </row>
    <row r="34" spans="2:17" x14ac:dyDescent="0.25">
      <c r="B34" s="394"/>
      <c r="C34" s="532"/>
      <c r="D34" s="533"/>
      <c r="E34" s="1208"/>
      <c r="F34" s="1208"/>
      <c r="G34" s="1208"/>
      <c r="H34" s="1208"/>
      <c r="I34" s="1208"/>
      <c r="J34" s="456"/>
      <c r="K34" s="457"/>
      <c r="L34" s="457"/>
      <c r="M34" s="457"/>
      <c r="N34" s="457"/>
      <c r="O34" s="457"/>
      <c r="P34" s="458"/>
      <c r="Q34" s="944"/>
    </row>
    <row r="35" spans="2:17" x14ac:dyDescent="0.25">
      <c r="B35" s="394"/>
      <c r="C35" s="532" t="s">
        <v>417</v>
      </c>
      <c r="D35" s="534"/>
      <c r="E35" s="1208"/>
      <c r="F35" s="1208"/>
      <c r="G35" s="1208"/>
      <c r="H35" s="1335"/>
      <c r="I35" s="942"/>
      <c r="J35" s="2049">
        <f>'8B - 9%'!H38</f>
        <v>228433.19999999998</v>
      </c>
      <c r="K35" s="1664">
        <f t="shared" ref="K35:P35" si="4">J35*1.025</f>
        <v>234144.02999999997</v>
      </c>
      <c r="L35" s="1664">
        <f t="shared" si="4"/>
        <v>239997.63074999995</v>
      </c>
      <c r="M35" s="1664">
        <f t="shared" si="4"/>
        <v>245997.57151874993</v>
      </c>
      <c r="N35" s="1664">
        <f t="shared" si="4"/>
        <v>252147.51080671867</v>
      </c>
      <c r="O35" s="1664">
        <f t="shared" si="4"/>
        <v>258451.19857688661</v>
      </c>
      <c r="P35" s="1665">
        <f t="shared" si="4"/>
        <v>264912.47854130878</v>
      </c>
      <c r="Q35" s="944"/>
    </row>
    <row r="36" spans="2:17" x14ac:dyDescent="0.25">
      <c r="B36" s="394"/>
      <c r="C36" s="532"/>
      <c r="D36" s="534"/>
      <c r="E36" s="1208"/>
      <c r="F36" s="1208"/>
      <c r="G36" s="1208"/>
      <c r="H36" s="1208"/>
      <c r="I36" s="1208"/>
      <c r="J36" s="456"/>
      <c r="K36" s="457"/>
      <c r="L36" s="457"/>
      <c r="M36" s="457"/>
      <c r="N36" s="457"/>
      <c r="O36" s="457"/>
      <c r="P36" s="458"/>
      <c r="Q36" s="944"/>
    </row>
    <row r="37" spans="2:17" ht="15.75" thickBot="1" x14ac:dyDescent="0.3">
      <c r="B37" s="394"/>
      <c r="C37" s="535" t="s">
        <v>418</v>
      </c>
      <c r="D37" s="536"/>
      <c r="E37" s="1336"/>
      <c r="F37" s="1336"/>
      <c r="G37" s="1336"/>
      <c r="H37" s="1337"/>
      <c r="I37" s="1338"/>
      <c r="J37" s="1666">
        <v>0</v>
      </c>
      <c r="K37" s="1667">
        <v>0</v>
      </c>
      <c r="L37" s="1667">
        <v>0</v>
      </c>
      <c r="M37" s="1667">
        <v>0</v>
      </c>
      <c r="N37" s="1667">
        <v>0</v>
      </c>
      <c r="O37" s="1667">
        <v>0</v>
      </c>
      <c r="P37" s="1668">
        <v>0</v>
      </c>
      <c r="Q37" s="944"/>
    </row>
    <row r="38" spans="2:17" ht="15.75" thickTop="1" x14ac:dyDescent="0.25">
      <c r="B38" s="394"/>
      <c r="C38" s="524" t="s">
        <v>419</v>
      </c>
      <c r="D38" s="1208"/>
      <c r="E38" s="1208"/>
      <c r="F38" s="1208"/>
      <c r="G38" s="1208"/>
      <c r="H38" s="1208"/>
      <c r="I38" s="534" t="s">
        <v>416</v>
      </c>
      <c r="J38" s="459">
        <f>J33+J35+J37</f>
        <v>607997.19999999995</v>
      </c>
      <c r="K38" s="460">
        <f t="shared" ref="K38:P38" si="5">K33+K35+K37</f>
        <v>623197.12999999989</v>
      </c>
      <c r="L38" s="460">
        <f t="shared" si="5"/>
        <v>638777.05825</v>
      </c>
      <c r="M38" s="460">
        <f t="shared" si="5"/>
        <v>654746.48470625002</v>
      </c>
      <c r="N38" s="460">
        <f t="shared" si="5"/>
        <v>671115.14682390611</v>
      </c>
      <c r="O38" s="460">
        <f t="shared" si="5"/>
        <v>687893.02549450379</v>
      </c>
      <c r="P38" s="461">
        <f t="shared" si="5"/>
        <v>705090.35113186645</v>
      </c>
      <c r="Q38" s="944"/>
    </row>
    <row r="39" spans="2:17" ht="15.75" thickBot="1" x14ac:dyDescent="0.3">
      <c r="B39" s="394"/>
      <c r="C39" s="524"/>
      <c r="D39" s="1208"/>
      <c r="E39" s="1208"/>
      <c r="F39" s="1208"/>
      <c r="G39" s="1208"/>
      <c r="H39" s="537" t="s">
        <v>420</v>
      </c>
      <c r="I39" s="1208"/>
      <c r="J39" s="456"/>
      <c r="K39" s="457"/>
      <c r="L39" s="457"/>
      <c r="M39" s="457"/>
      <c r="N39" s="457"/>
      <c r="O39" s="457"/>
      <c r="P39" s="458"/>
      <c r="Q39" s="944"/>
    </row>
    <row r="40" spans="2:17" x14ac:dyDescent="0.25">
      <c r="B40" s="394"/>
      <c r="C40" s="538" t="s">
        <v>421</v>
      </c>
      <c r="D40" s="1327"/>
      <c r="E40" s="1327"/>
      <c r="F40" s="1327"/>
      <c r="G40" s="1328"/>
      <c r="H40" s="1659">
        <v>0.05</v>
      </c>
      <c r="I40" s="1329"/>
      <c r="J40" s="1339">
        <f>-J33*$H40</f>
        <v>-18978.2</v>
      </c>
      <c r="K40" s="1340">
        <f t="shared" ref="K40:P40" si="6">-K33*$H40</f>
        <v>-19452.654999999999</v>
      </c>
      <c r="L40" s="1340">
        <f t="shared" si="6"/>
        <v>-19938.971375000001</v>
      </c>
      <c r="M40" s="1340">
        <f t="shared" si="6"/>
        <v>-20437.445659375004</v>
      </c>
      <c r="N40" s="1340">
        <f t="shared" si="6"/>
        <v>-20948.381800859377</v>
      </c>
      <c r="O40" s="1340">
        <f t="shared" si="6"/>
        <v>-21472.091345880865</v>
      </c>
      <c r="P40" s="1341">
        <f t="shared" si="6"/>
        <v>-22008.893629527884</v>
      </c>
      <c r="Q40" s="944"/>
    </row>
    <row r="41" spans="2:17" ht="15.75" thickBot="1" x14ac:dyDescent="0.3">
      <c r="B41" s="394"/>
      <c r="C41" s="539" t="s">
        <v>422</v>
      </c>
      <c r="D41" s="1336"/>
      <c r="E41" s="1336"/>
      <c r="F41" s="1336"/>
      <c r="G41" s="1336"/>
      <c r="H41" s="1669">
        <v>0.1</v>
      </c>
      <c r="I41" s="1342"/>
      <c r="J41" s="1343">
        <f>-J37*$H41</f>
        <v>0</v>
      </c>
      <c r="K41" s="1344">
        <f t="shared" ref="K41:P41" si="7">-K37*$H41</f>
        <v>0</v>
      </c>
      <c r="L41" s="1344">
        <f t="shared" si="7"/>
        <v>0</v>
      </c>
      <c r="M41" s="1344">
        <f t="shared" si="7"/>
        <v>0</v>
      </c>
      <c r="N41" s="1344">
        <f t="shared" si="7"/>
        <v>0</v>
      </c>
      <c r="O41" s="1344">
        <f t="shared" si="7"/>
        <v>0</v>
      </c>
      <c r="P41" s="1345">
        <f t="shared" si="7"/>
        <v>0</v>
      </c>
      <c r="Q41" s="944"/>
    </row>
    <row r="42" spans="2:17" ht="16.5" thickTop="1" thickBot="1" x14ac:dyDescent="0.3">
      <c r="B42" s="394"/>
      <c r="C42" s="540" t="s">
        <v>423</v>
      </c>
      <c r="D42" s="1208"/>
      <c r="E42" s="1208"/>
      <c r="F42" s="1208"/>
      <c r="G42" s="1208"/>
      <c r="H42" s="1208"/>
      <c r="I42" s="533" t="s">
        <v>416</v>
      </c>
      <c r="J42" s="1714">
        <f>J38+J40+J41</f>
        <v>589019</v>
      </c>
      <c r="K42" s="1715">
        <f t="shared" ref="K42:P42" si="8">K38+K40+K41</f>
        <v>603744.47499999986</v>
      </c>
      <c r="L42" s="1715">
        <f t="shared" si="8"/>
        <v>618838.08687500004</v>
      </c>
      <c r="M42" s="1715">
        <f t="shared" si="8"/>
        <v>634309.03904687497</v>
      </c>
      <c r="N42" s="1715">
        <f t="shared" si="8"/>
        <v>650166.76502304676</v>
      </c>
      <c r="O42" s="1715">
        <f t="shared" si="8"/>
        <v>666420.93414862291</v>
      </c>
      <c r="P42" s="1716">
        <f t="shared" si="8"/>
        <v>683081.45750233857</v>
      </c>
      <c r="Q42" s="944"/>
    </row>
    <row r="43" spans="2:17" ht="7.5" customHeight="1" x14ac:dyDescent="0.25">
      <c r="B43" s="394"/>
      <c r="C43" s="942"/>
      <c r="D43" s="942"/>
      <c r="E43" s="1208"/>
      <c r="F43" s="1208"/>
      <c r="G43" s="1208"/>
      <c r="H43" s="1208"/>
      <c r="I43" s="1208"/>
      <c r="J43" s="942"/>
      <c r="K43" s="942"/>
      <c r="L43" s="942"/>
      <c r="M43" s="942"/>
      <c r="N43" s="942"/>
      <c r="O43" s="942"/>
      <c r="P43" s="942"/>
      <c r="Q43" s="944"/>
    </row>
    <row r="44" spans="2:17" ht="15.75" thickBot="1" x14ac:dyDescent="0.3">
      <c r="B44" s="517"/>
      <c r="C44" s="593" t="s">
        <v>424</v>
      </c>
      <c r="D44" s="463"/>
      <c r="E44" s="463"/>
      <c r="F44" s="463"/>
      <c r="G44" s="463"/>
      <c r="H44" s="463"/>
      <c r="I44" s="463"/>
      <c r="J44" s="463"/>
      <c r="K44" s="463"/>
      <c r="L44" s="463"/>
      <c r="M44" s="464"/>
      <c r="N44" s="463"/>
      <c r="O44" s="463"/>
      <c r="P44" s="463"/>
      <c r="Q44" s="521"/>
    </row>
    <row r="45" spans="2:17" ht="36.75" thickBot="1" x14ac:dyDescent="0.3">
      <c r="B45" s="517"/>
      <c r="C45" s="524" t="s">
        <v>425</v>
      </c>
      <c r="D45" s="515"/>
      <c r="E45" s="532"/>
      <c r="F45" s="541" t="s">
        <v>412</v>
      </c>
      <c r="G45" s="542"/>
      <c r="H45" s="518"/>
      <c r="I45" s="465" t="s">
        <v>426</v>
      </c>
      <c r="J45" s="446" t="s">
        <v>404</v>
      </c>
      <c r="K45" s="447" t="s">
        <v>405</v>
      </c>
      <c r="L45" s="447" t="s">
        <v>406</v>
      </c>
      <c r="M45" s="447" t="s">
        <v>407</v>
      </c>
      <c r="N45" s="447" t="s">
        <v>408</v>
      </c>
      <c r="O45" s="447" t="s">
        <v>409</v>
      </c>
      <c r="P45" s="448" t="s">
        <v>410</v>
      </c>
      <c r="Q45" s="516"/>
    </row>
    <row r="46" spans="2:17" x14ac:dyDescent="0.25">
      <c r="B46" s="517"/>
      <c r="C46" s="543" t="s">
        <v>427</v>
      </c>
      <c r="D46" s="544"/>
      <c r="E46" s="545"/>
      <c r="F46" s="1659">
        <v>3.5000000000000003E-2</v>
      </c>
      <c r="G46" s="1346"/>
      <c r="H46" s="546"/>
      <c r="I46" s="466">
        <f>IFERROR(J46/'1B - 4%'!$L$23,"")</f>
        <v>795.92737499999998</v>
      </c>
      <c r="J46" s="547">
        <f>'8C - 9%'!K22</f>
        <v>63674.19</v>
      </c>
      <c r="K46" s="548">
        <f t="shared" ref="K46:P46" si="9">J46+(J46*$F46)</f>
        <v>65902.786650000009</v>
      </c>
      <c r="L46" s="548">
        <f t="shared" si="9"/>
        <v>68209.384182750015</v>
      </c>
      <c r="M46" s="548">
        <f t="shared" si="9"/>
        <v>70596.712629146263</v>
      </c>
      <c r="N46" s="548">
        <f t="shared" si="9"/>
        <v>73067.597571166378</v>
      </c>
      <c r="O46" s="548">
        <f t="shared" si="9"/>
        <v>75624.963486157198</v>
      </c>
      <c r="P46" s="549">
        <f t="shared" si="9"/>
        <v>78271.837208172699</v>
      </c>
      <c r="Q46" s="516"/>
    </row>
    <row r="47" spans="2:17" x14ac:dyDescent="0.25">
      <c r="B47" s="550"/>
      <c r="C47" s="551" t="s">
        <v>428</v>
      </c>
      <c r="D47" s="552"/>
      <c r="E47" s="553"/>
      <c r="F47" s="1670">
        <v>2.5000000000000001E-2</v>
      </c>
      <c r="G47" s="1347"/>
      <c r="H47" s="554"/>
      <c r="I47" s="467">
        <f>IFERROR(J47/'1B - 4%'!$L$23,"")</f>
        <v>441.76249999999999</v>
      </c>
      <c r="J47" s="555">
        <v>35341</v>
      </c>
      <c r="K47" s="556">
        <f t="shared" ref="K47:P62" si="10">J47+(J47*$F47)</f>
        <v>36224.525000000001</v>
      </c>
      <c r="L47" s="556">
        <f t="shared" si="10"/>
        <v>37130.138125000005</v>
      </c>
      <c r="M47" s="556">
        <f t="shared" si="10"/>
        <v>38058.391578125003</v>
      </c>
      <c r="N47" s="556">
        <f t="shared" si="10"/>
        <v>39009.851367578129</v>
      </c>
      <c r="O47" s="556">
        <f t="shared" si="10"/>
        <v>39985.097651767581</v>
      </c>
      <c r="P47" s="557">
        <f t="shared" si="10"/>
        <v>40984.725093061774</v>
      </c>
      <c r="Q47" s="516"/>
    </row>
    <row r="48" spans="2:17" x14ac:dyDescent="0.25">
      <c r="B48" s="517"/>
      <c r="C48" s="551" t="s">
        <v>429</v>
      </c>
      <c r="D48" s="552"/>
      <c r="E48" s="553"/>
      <c r="F48" s="1670">
        <v>3.5000000000000003E-2</v>
      </c>
      <c r="G48" s="1347"/>
      <c r="H48" s="554"/>
      <c r="I48" s="467">
        <f>IFERROR(J48/'1B - 4%'!$L$23,"")</f>
        <v>106.25</v>
      </c>
      <c r="J48" s="555">
        <v>8500</v>
      </c>
      <c r="K48" s="556">
        <f t="shared" si="10"/>
        <v>8797.5</v>
      </c>
      <c r="L48" s="556">
        <f t="shared" si="10"/>
        <v>9105.4125000000004</v>
      </c>
      <c r="M48" s="556">
        <f t="shared" si="10"/>
        <v>9424.1019374999996</v>
      </c>
      <c r="N48" s="556">
        <f t="shared" si="10"/>
        <v>9753.9455053125002</v>
      </c>
      <c r="O48" s="556">
        <f t="shared" si="10"/>
        <v>10095.333597998439</v>
      </c>
      <c r="P48" s="557">
        <f t="shared" si="10"/>
        <v>10448.670273928385</v>
      </c>
      <c r="Q48" s="516"/>
    </row>
    <row r="49" spans="2:17" x14ac:dyDescent="0.25">
      <c r="B49" s="517"/>
      <c r="C49" s="551" t="s">
        <v>430</v>
      </c>
      <c r="D49" s="553"/>
      <c r="E49" s="552"/>
      <c r="F49" s="1670">
        <v>3.5000000000000003E-2</v>
      </c>
      <c r="G49" s="1347"/>
      <c r="H49" s="554"/>
      <c r="I49" s="467">
        <f>IFERROR(J49/'1B - 4%'!$L$23,"")</f>
        <v>13.25</v>
      </c>
      <c r="J49" s="555">
        <v>1060</v>
      </c>
      <c r="K49" s="556">
        <f t="shared" si="10"/>
        <v>1097.0999999999999</v>
      </c>
      <c r="L49" s="556">
        <f t="shared" si="10"/>
        <v>1135.4984999999999</v>
      </c>
      <c r="M49" s="556">
        <f t="shared" si="10"/>
        <v>1175.2409474999999</v>
      </c>
      <c r="N49" s="556">
        <f t="shared" si="10"/>
        <v>1216.3743806625</v>
      </c>
      <c r="O49" s="556">
        <f t="shared" si="10"/>
        <v>1258.9474839856875</v>
      </c>
      <c r="P49" s="557">
        <f t="shared" si="10"/>
        <v>1303.0106459251865</v>
      </c>
      <c r="Q49" s="516"/>
    </row>
    <row r="50" spans="2:17" x14ac:dyDescent="0.25">
      <c r="B50" s="517"/>
      <c r="C50" s="551" t="s">
        <v>431</v>
      </c>
      <c r="D50" s="552"/>
      <c r="E50" s="553"/>
      <c r="F50" s="1670">
        <v>3.5000000000000003E-2</v>
      </c>
      <c r="G50" s="1347"/>
      <c r="H50" s="554"/>
      <c r="I50" s="467">
        <f>IFERROR(J50/'1B - 4%'!$L$23,"")</f>
        <v>198.75</v>
      </c>
      <c r="J50" s="555">
        <v>15900</v>
      </c>
      <c r="K50" s="556">
        <f t="shared" si="10"/>
        <v>16456.5</v>
      </c>
      <c r="L50" s="556">
        <f t="shared" si="10"/>
        <v>17032.477500000001</v>
      </c>
      <c r="M50" s="556">
        <f t="shared" si="10"/>
        <v>17628.614212500001</v>
      </c>
      <c r="N50" s="556">
        <f t="shared" si="10"/>
        <v>18245.615709937501</v>
      </c>
      <c r="O50" s="556">
        <f t="shared" si="10"/>
        <v>18884.212259785316</v>
      </c>
      <c r="P50" s="557">
        <f t="shared" si="10"/>
        <v>19545.1596888778</v>
      </c>
      <c r="Q50" s="516"/>
    </row>
    <row r="51" spans="2:17" x14ac:dyDescent="0.25">
      <c r="B51" s="517"/>
      <c r="C51" s="551" t="s">
        <v>432</v>
      </c>
      <c r="D51" s="552"/>
      <c r="E51" s="553"/>
      <c r="F51" s="1670">
        <v>3.5000000000000003E-2</v>
      </c>
      <c r="G51" s="1347"/>
      <c r="H51" s="554"/>
      <c r="I51" s="467">
        <f>IFERROR(J51/'1B - 4%'!$L$23,"")</f>
        <v>11.45</v>
      </c>
      <c r="J51" s="555">
        <v>916</v>
      </c>
      <c r="K51" s="556">
        <f t="shared" si="10"/>
        <v>948.06</v>
      </c>
      <c r="L51" s="556">
        <f t="shared" si="10"/>
        <v>981.24209999999994</v>
      </c>
      <c r="M51" s="556">
        <f t="shared" si="10"/>
        <v>1015.5855734999999</v>
      </c>
      <c r="N51" s="556">
        <f t="shared" si="10"/>
        <v>1051.1310685725</v>
      </c>
      <c r="O51" s="556">
        <f t="shared" si="10"/>
        <v>1087.9206559725376</v>
      </c>
      <c r="P51" s="557">
        <f t="shared" si="10"/>
        <v>1125.9978789315765</v>
      </c>
      <c r="Q51" s="516"/>
    </row>
    <row r="52" spans="2:17" x14ac:dyDescent="0.25">
      <c r="B52" s="517"/>
      <c r="C52" s="551" t="s">
        <v>433</v>
      </c>
      <c r="D52" s="552"/>
      <c r="E52" s="553"/>
      <c r="F52" s="1670">
        <v>3.5000000000000003E-2</v>
      </c>
      <c r="G52" s="1347"/>
      <c r="H52" s="554"/>
      <c r="I52" s="467">
        <f>IFERROR(J52/'1B - 4%'!$L$23,"")</f>
        <v>5.9749999999999996</v>
      </c>
      <c r="J52" s="555">
        <v>478</v>
      </c>
      <c r="K52" s="556">
        <f t="shared" si="10"/>
        <v>494.73</v>
      </c>
      <c r="L52" s="556">
        <f t="shared" si="10"/>
        <v>512.04555000000005</v>
      </c>
      <c r="M52" s="556">
        <f t="shared" si="10"/>
        <v>529.96714425000005</v>
      </c>
      <c r="N52" s="556">
        <f t="shared" si="10"/>
        <v>548.51599429875</v>
      </c>
      <c r="O52" s="556">
        <f t="shared" si="10"/>
        <v>567.71405409920624</v>
      </c>
      <c r="P52" s="557">
        <f t="shared" si="10"/>
        <v>587.58404599267851</v>
      </c>
      <c r="Q52" s="516"/>
    </row>
    <row r="53" spans="2:17" x14ac:dyDescent="0.25">
      <c r="B53" s="517"/>
      <c r="C53" s="551" t="s">
        <v>434</v>
      </c>
      <c r="D53" s="553"/>
      <c r="E53" s="552"/>
      <c r="F53" s="1670">
        <v>3.5000000000000003E-2</v>
      </c>
      <c r="G53" s="1347"/>
      <c r="H53" s="554"/>
      <c r="I53" s="467">
        <f>IFERROR(J53/'1B - 4%'!$L$23,"")</f>
        <v>0</v>
      </c>
      <c r="J53" s="555">
        <v>0</v>
      </c>
      <c r="K53" s="556">
        <f t="shared" si="10"/>
        <v>0</v>
      </c>
      <c r="L53" s="556">
        <f t="shared" si="10"/>
        <v>0</v>
      </c>
      <c r="M53" s="556">
        <f t="shared" si="10"/>
        <v>0</v>
      </c>
      <c r="N53" s="556">
        <f t="shared" si="10"/>
        <v>0</v>
      </c>
      <c r="O53" s="556">
        <f t="shared" si="10"/>
        <v>0</v>
      </c>
      <c r="P53" s="557">
        <f t="shared" si="10"/>
        <v>0</v>
      </c>
      <c r="Q53" s="516"/>
    </row>
    <row r="54" spans="2:17" x14ac:dyDescent="0.25">
      <c r="B54" s="517"/>
      <c r="C54" s="551" t="s">
        <v>435</v>
      </c>
      <c r="D54" s="552"/>
      <c r="E54" s="553"/>
      <c r="F54" s="1670">
        <v>3.5000000000000003E-2</v>
      </c>
      <c r="G54" s="1347"/>
      <c r="H54" s="554"/>
      <c r="I54" s="467">
        <f>IFERROR(J54/'1B - 4%'!$L$23,"")</f>
        <v>59.625</v>
      </c>
      <c r="J54" s="555">
        <v>4770</v>
      </c>
      <c r="K54" s="556">
        <f t="shared" si="10"/>
        <v>4936.95</v>
      </c>
      <c r="L54" s="556">
        <f t="shared" si="10"/>
        <v>5109.7432499999995</v>
      </c>
      <c r="M54" s="556">
        <f t="shared" si="10"/>
        <v>5288.5842637499991</v>
      </c>
      <c r="N54" s="556">
        <f t="shared" si="10"/>
        <v>5473.6847129812495</v>
      </c>
      <c r="O54" s="556">
        <f t="shared" si="10"/>
        <v>5665.2636779355935</v>
      </c>
      <c r="P54" s="557">
        <f t="shared" si="10"/>
        <v>5863.5479066633388</v>
      </c>
      <c r="Q54" s="516"/>
    </row>
    <row r="55" spans="2:17" x14ac:dyDescent="0.25">
      <c r="B55" s="517"/>
      <c r="C55" s="551" t="s">
        <v>436</v>
      </c>
      <c r="D55" s="553"/>
      <c r="E55" s="553"/>
      <c r="F55" s="1670">
        <v>3.5000000000000003E-2</v>
      </c>
      <c r="G55" s="1347"/>
      <c r="H55" s="554"/>
      <c r="I55" s="467">
        <f>IFERROR(J55/'1B - 4%'!$L$23,"")</f>
        <v>132.5</v>
      </c>
      <c r="J55" s="555">
        <v>10600</v>
      </c>
      <c r="K55" s="556">
        <f t="shared" si="10"/>
        <v>10971</v>
      </c>
      <c r="L55" s="556">
        <f t="shared" si="10"/>
        <v>11354.985000000001</v>
      </c>
      <c r="M55" s="556">
        <f t="shared" si="10"/>
        <v>11752.409475</v>
      </c>
      <c r="N55" s="556">
        <f t="shared" si="10"/>
        <v>12163.743806625</v>
      </c>
      <c r="O55" s="556">
        <f t="shared" si="10"/>
        <v>12589.474839856875</v>
      </c>
      <c r="P55" s="557">
        <f t="shared" si="10"/>
        <v>13030.106459251867</v>
      </c>
      <c r="Q55" s="516"/>
    </row>
    <row r="56" spans="2:17" x14ac:dyDescent="0.25">
      <c r="B56" s="517"/>
      <c r="C56" s="551" t="s">
        <v>437</v>
      </c>
      <c r="D56" s="552"/>
      <c r="E56" s="553"/>
      <c r="F56" s="1670">
        <v>3.5000000000000003E-2</v>
      </c>
      <c r="G56" s="1347"/>
      <c r="H56" s="554"/>
      <c r="I56" s="467">
        <f>IFERROR(J56/'1B - 4%'!$L$23,"")</f>
        <v>55.65</v>
      </c>
      <c r="J56" s="555">
        <v>4452</v>
      </c>
      <c r="K56" s="556">
        <f t="shared" si="10"/>
        <v>4607.82</v>
      </c>
      <c r="L56" s="556">
        <f t="shared" si="10"/>
        <v>4769.0936999999994</v>
      </c>
      <c r="M56" s="556">
        <f t="shared" si="10"/>
        <v>4936.0119794999991</v>
      </c>
      <c r="N56" s="556">
        <f t="shared" si="10"/>
        <v>5108.7723987824993</v>
      </c>
      <c r="O56" s="556">
        <f t="shared" si="10"/>
        <v>5287.5794327398871</v>
      </c>
      <c r="P56" s="557">
        <f t="shared" si="10"/>
        <v>5472.6447128857835</v>
      </c>
      <c r="Q56" s="516"/>
    </row>
    <row r="57" spans="2:17" x14ac:dyDescent="0.25">
      <c r="B57" s="517"/>
      <c r="C57" s="551" t="s">
        <v>438</v>
      </c>
      <c r="D57" s="553"/>
      <c r="E57" s="553"/>
      <c r="F57" s="1670">
        <v>3.5000000000000003E-2</v>
      </c>
      <c r="G57" s="1347"/>
      <c r="H57" s="554"/>
      <c r="I57" s="467">
        <f>IFERROR(J57/'1B - 4%'!$L$23,"")</f>
        <v>33.125</v>
      </c>
      <c r="J57" s="555">
        <v>2650</v>
      </c>
      <c r="K57" s="556">
        <f t="shared" si="10"/>
        <v>2742.75</v>
      </c>
      <c r="L57" s="556">
        <f t="shared" si="10"/>
        <v>2838.7462500000001</v>
      </c>
      <c r="M57" s="556">
        <f t="shared" si="10"/>
        <v>2938.1023687500001</v>
      </c>
      <c r="N57" s="556">
        <f t="shared" si="10"/>
        <v>3040.9359516562499</v>
      </c>
      <c r="O57" s="556">
        <f t="shared" si="10"/>
        <v>3147.3687099642189</v>
      </c>
      <c r="P57" s="557">
        <f t="shared" si="10"/>
        <v>3257.5266148129667</v>
      </c>
      <c r="Q57" s="516"/>
    </row>
    <row r="58" spans="2:17" x14ac:dyDescent="0.25">
      <c r="B58" s="517"/>
      <c r="C58" s="551" t="s">
        <v>439</v>
      </c>
      <c r="D58" s="553"/>
      <c r="E58" s="553"/>
      <c r="F58" s="1670">
        <v>3.5000000000000003E-2</v>
      </c>
      <c r="G58" s="1347"/>
      <c r="H58" s="554"/>
      <c r="I58" s="467">
        <f>IFERROR(J58/'1B - 4%'!$L$23,"")</f>
        <v>66.25</v>
      </c>
      <c r="J58" s="555">
        <v>5300</v>
      </c>
      <c r="K58" s="556">
        <f t="shared" si="10"/>
        <v>5485.5</v>
      </c>
      <c r="L58" s="556">
        <f t="shared" si="10"/>
        <v>5677.4925000000003</v>
      </c>
      <c r="M58" s="556">
        <f t="shared" si="10"/>
        <v>5876.2047375000002</v>
      </c>
      <c r="N58" s="556">
        <f t="shared" si="10"/>
        <v>6081.8719033124999</v>
      </c>
      <c r="O58" s="556">
        <f t="shared" si="10"/>
        <v>6294.7374199284377</v>
      </c>
      <c r="P58" s="557">
        <f t="shared" si="10"/>
        <v>6515.0532296259335</v>
      </c>
      <c r="Q58" s="516"/>
    </row>
    <row r="59" spans="2:17" x14ac:dyDescent="0.25">
      <c r="B59" s="517"/>
      <c r="C59" s="551" t="s">
        <v>440</v>
      </c>
      <c r="D59" s="553"/>
      <c r="E59" s="553"/>
      <c r="F59" s="1670">
        <v>3.5000000000000003E-2</v>
      </c>
      <c r="G59" s="1347"/>
      <c r="H59" s="554"/>
      <c r="I59" s="467">
        <f>IFERROR(J59/'1B - 4%'!$L$23,"")</f>
        <v>33.125</v>
      </c>
      <c r="J59" s="555">
        <v>2650</v>
      </c>
      <c r="K59" s="556">
        <f t="shared" si="10"/>
        <v>2742.75</v>
      </c>
      <c r="L59" s="556">
        <f t="shared" si="10"/>
        <v>2838.7462500000001</v>
      </c>
      <c r="M59" s="556">
        <f t="shared" si="10"/>
        <v>2938.1023687500001</v>
      </c>
      <c r="N59" s="556">
        <f t="shared" si="10"/>
        <v>3040.9359516562499</v>
      </c>
      <c r="O59" s="556">
        <f t="shared" si="10"/>
        <v>3147.3687099642189</v>
      </c>
      <c r="P59" s="557">
        <f t="shared" si="10"/>
        <v>3257.5266148129667</v>
      </c>
      <c r="Q59" s="516"/>
    </row>
    <row r="60" spans="2:17" x14ac:dyDescent="0.25">
      <c r="B60" s="517"/>
      <c r="C60" s="551" t="s">
        <v>441</v>
      </c>
      <c r="D60" s="553"/>
      <c r="E60" s="553"/>
      <c r="F60" s="1670">
        <v>3.5000000000000003E-2</v>
      </c>
      <c r="G60" s="1347"/>
      <c r="H60" s="554"/>
      <c r="I60" s="467">
        <f>IFERROR(J60/'1B - 4%'!$L$23,"")</f>
        <v>35.112499999999997</v>
      </c>
      <c r="J60" s="555">
        <v>2809</v>
      </c>
      <c r="K60" s="556">
        <f t="shared" si="10"/>
        <v>2907.3150000000001</v>
      </c>
      <c r="L60" s="556">
        <f t="shared" si="10"/>
        <v>3009.0710250000002</v>
      </c>
      <c r="M60" s="556">
        <f t="shared" si="10"/>
        <v>3114.3885108750001</v>
      </c>
      <c r="N60" s="556">
        <f t="shared" si="10"/>
        <v>3223.392108755625</v>
      </c>
      <c r="O60" s="556">
        <f t="shared" si="10"/>
        <v>3336.210832562072</v>
      </c>
      <c r="P60" s="557">
        <f t="shared" si="10"/>
        <v>3452.9782117017444</v>
      </c>
      <c r="Q60" s="516"/>
    </row>
    <row r="61" spans="2:17" x14ac:dyDescent="0.25">
      <c r="B61" s="517"/>
      <c r="C61" s="551" t="s">
        <v>442</v>
      </c>
      <c r="D61" s="552"/>
      <c r="E61" s="553"/>
      <c r="F61" s="1670">
        <v>0.04</v>
      </c>
      <c r="G61" s="1347"/>
      <c r="H61" s="554"/>
      <c r="I61" s="467">
        <f>IFERROR(J61/'1B - 4%'!$L$23,"")</f>
        <v>420.6875</v>
      </c>
      <c r="J61" s="555">
        <v>33655</v>
      </c>
      <c r="K61" s="556">
        <f t="shared" si="10"/>
        <v>35001.199999999997</v>
      </c>
      <c r="L61" s="556">
        <f t="shared" si="10"/>
        <v>36401.248</v>
      </c>
      <c r="M61" s="556">
        <f t="shared" si="10"/>
        <v>37857.297919999997</v>
      </c>
      <c r="N61" s="556">
        <f t="shared" si="10"/>
        <v>39371.589836799998</v>
      </c>
      <c r="O61" s="556">
        <f t="shared" si="10"/>
        <v>40946.453430271999</v>
      </c>
      <c r="P61" s="557">
        <f t="shared" si="10"/>
        <v>42584.31156748288</v>
      </c>
      <c r="Q61" s="516"/>
    </row>
    <row r="62" spans="2:17" x14ac:dyDescent="0.25">
      <c r="B62" s="517"/>
      <c r="C62" s="551" t="s">
        <v>443</v>
      </c>
      <c r="D62" s="552"/>
      <c r="E62" s="553"/>
      <c r="F62" s="1670">
        <v>3.5000000000000003E-2</v>
      </c>
      <c r="G62" s="1347"/>
      <c r="H62" s="554"/>
      <c r="I62" s="467">
        <f>IFERROR(J62/'1B - 4%'!$L$23,"")</f>
        <v>92.75</v>
      </c>
      <c r="J62" s="555">
        <v>7420</v>
      </c>
      <c r="K62" s="556">
        <f t="shared" si="10"/>
        <v>7679.7</v>
      </c>
      <c r="L62" s="556">
        <f t="shared" si="10"/>
        <v>7948.4894999999997</v>
      </c>
      <c r="M62" s="556">
        <f t="shared" si="10"/>
        <v>8226.6866324999992</v>
      </c>
      <c r="N62" s="556">
        <f t="shared" si="10"/>
        <v>8514.6206646374994</v>
      </c>
      <c r="O62" s="556">
        <f t="shared" si="10"/>
        <v>8812.6323878998119</v>
      </c>
      <c r="P62" s="557">
        <f t="shared" si="10"/>
        <v>9121.0745214763047</v>
      </c>
      <c r="Q62" s="516"/>
    </row>
    <row r="63" spans="2:17" x14ac:dyDescent="0.25">
      <c r="B63" s="558"/>
      <c r="C63" s="551" t="s">
        <v>444</v>
      </c>
      <c r="D63" s="552"/>
      <c r="E63" s="553"/>
      <c r="F63" s="1670">
        <v>3.5000000000000003E-2</v>
      </c>
      <c r="G63" s="1347"/>
      <c r="H63" s="554"/>
      <c r="I63" s="467">
        <f>IFERROR(J63/'1B - 4%'!$L$23,"")</f>
        <v>53</v>
      </c>
      <c r="J63" s="555">
        <v>4240</v>
      </c>
      <c r="K63" s="556">
        <f t="shared" ref="K63:P66" si="11">J63+(J63*$F63)</f>
        <v>4388.3999999999996</v>
      </c>
      <c r="L63" s="556">
        <f t="shared" si="11"/>
        <v>4541.9939999999997</v>
      </c>
      <c r="M63" s="556">
        <f t="shared" si="11"/>
        <v>4700.9637899999998</v>
      </c>
      <c r="N63" s="556">
        <f t="shared" si="11"/>
        <v>4865.4975226500001</v>
      </c>
      <c r="O63" s="556">
        <f t="shared" si="11"/>
        <v>5035.7899359427502</v>
      </c>
      <c r="P63" s="557">
        <f t="shared" si="11"/>
        <v>5212.042583700746</v>
      </c>
      <c r="Q63" s="559"/>
    </row>
    <row r="64" spans="2:17" x14ac:dyDescent="0.25">
      <c r="B64" s="517"/>
      <c r="C64" s="551" t="s">
        <v>445</v>
      </c>
      <c r="D64" s="553"/>
      <c r="E64" s="553"/>
      <c r="F64" s="1670">
        <v>3.5000000000000003E-2</v>
      </c>
      <c r="G64" s="1347"/>
      <c r="H64" s="554"/>
      <c r="I64" s="467">
        <f>IFERROR(J64/'1B - 4%'!$L$23,"")</f>
        <v>82.8125</v>
      </c>
      <c r="J64" s="555">
        <v>6625</v>
      </c>
      <c r="K64" s="556">
        <f t="shared" si="11"/>
        <v>6856.875</v>
      </c>
      <c r="L64" s="556">
        <f t="shared" si="11"/>
        <v>7096.8656250000004</v>
      </c>
      <c r="M64" s="556">
        <f t="shared" si="11"/>
        <v>7345.2559218750002</v>
      </c>
      <c r="N64" s="556">
        <f t="shared" si="11"/>
        <v>7602.3398791406253</v>
      </c>
      <c r="O64" s="556">
        <f t="shared" si="11"/>
        <v>7868.4217749105474</v>
      </c>
      <c r="P64" s="557">
        <f t="shared" si="11"/>
        <v>8143.8165370324168</v>
      </c>
      <c r="Q64" s="516"/>
    </row>
    <row r="65" spans="2:17" x14ac:dyDescent="0.25">
      <c r="B65" s="517"/>
      <c r="C65" s="551" t="s">
        <v>446</v>
      </c>
      <c r="D65" s="553"/>
      <c r="E65" s="553"/>
      <c r="F65" s="1670">
        <v>3.5000000000000003E-2</v>
      </c>
      <c r="G65" s="1347"/>
      <c r="H65" s="554"/>
      <c r="I65" s="467">
        <f>IFERROR(J65/'1B - 4%'!$L$23,"")</f>
        <v>22.412500000000001</v>
      </c>
      <c r="J65" s="555">
        <v>1793</v>
      </c>
      <c r="K65" s="556">
        <f t="shared" si="11"/>
        <v>1855.7550000000001</v>
      </c>
      <c r="L65" s="556">
        <f t="shared" si="11"/>
        <v>1920.7064250000001</v>
      </c>
      <c r="M65" s="556">
        <f t="shared" si="11"/>
        <v>1987.9311498750001</v>
      </c>
      <c r="N65" s="556">
        <f t="shared" si="11"/>
        <v>2057.5087401206251</v>
      </c>
      <c r="O65" s="556">
        <f t="shared" si="11"/>
        <v>2129.5215460248469</v>
      </c>
      <c r="P65" s="557">
        <f t="shared" si="11"/>
        <v>2204.0548001357165</v>
      </c>
      <c r="Q65" s="516"/>
    </row>
    <row r="66" spans="2:17" ht="15.75" thickBot="1" x14ac:dyDescent="0.3">
      <c r="B66" s="517"/>
      <c r="C66" s="560" t="s">
        <v>247</v>
      </c>
      <c r="D66" s="561"/>
      <c r="E66" s="562"/>
      <c r="F66" s="1671">
        <v>3.5000000000000003E-2</v>
      </c>
      <c r="G66" s="1347"/>
      <c r="H66" s="554"/>
      <c r="I66" s="468">
        <f>IFERROR(J66/'1B - 4%'!$L$23,"")</f>
        <v>457.85</v>
      </c>
      <c r="J66" s="563">
        <f>6625+28148+1855</f>
        <v>36628</v>
      </c>
      <c r="K66" s="564">
        <f t="shared" si="11"/>
        <v>37909.980000000003</v>
      </c>
      <c r="L66" s="564">
        <f t="shared" si="11"/>
        <v>39236.829300000005</v>
      </c>
      <c r="M66" s="564">
        <f>L66+(L66*$F66)</f>
        <v>40610.118325500007</v>
      </c>
      <c r="N66" s="564">
        <f t="shared" si="11"/>
        <v>42031.472466892505</v>
      </c>
      <c r="O66" s="564">
        <f t="shared" si="11"/>
        <v>43502.574003233742</v>
      </c>
      <c r="P66" s="565">
        <f t="shared" si="11"/>
        <v>45025.164093346924</v>
      </c>
      <c r="Q66" s="516"/>
    </row>
    <row r="67" spans="2:17" ht="15.75" thickBot="1" x14ac:dyDescent="0.3">
      <c r="B67" s="517"/>
      <c r="C67" s="475" t="s">
        <v>447</v>
      </c>
      <c r="D67" s="532"/>
      <c r="E67" s="515"/>
      <c r="F67" s="533"/>
      <c r="G67" s="533"/>
      <c r="H67" s="515"/>
      <c r="I67" s="468">
        <f>IFERROR(J67/'1B - 4%'!$L$23,"")</f>
        <v>3118.2648749999998</v>
      </c>
      <c r="J67" s="469">
        <f>SUM(J46:J66)</f>
        <v>249461.19</v>
      </c>
      <c r="K67" s="470">
        <f t="shared" ref="K67:P67" si="12">SUM(K46:K66)</f>
        <v>258007.19665000006</v>
      </c>
      <c r="L67" s="470">
        <f t="shared" si="12"/>
        <v>266850.20928275003</v>
      </c>
      <c r="M67" s="470">
        <f t="shared" si="12"/>
        <v>276000.67146639631</v>
      </c>
      <c r="N67" s="470">
        <f t="shared" si="12"/>
        <v>285469.39754153887</v>
      </c>
      <c r="O67" s="470">
        <f t="shared" si="12"/>
        <v>295267.58589100093</v>
      </c>
      <c r="P67" s="471">
        <f t="shared" si="12"/>
        <v>305406.83268781967</v>
      </c>
      <c r="Q67" s="516"/>
    </row>
    <row r="68" spans="2:17" ht="15.75" thickBot="1" x14ac:dyDescent="0.3">
      <c r="B68" s="517"/>
      <c r="C68" s="475"/>
      <c r="D68" s="532"/>
      <c r="E68" s="515"/>
      <c r="F68" s="541" t="s">
        <v>412</v>
      </c>
      <c r="G68" s="542"/>
      <c r="H68" s="518"/>
      <c r="I68" s="518"/>
      <c r="J68" s="472"/>
      <c r="K68" s="473"/>
      <c r="L68" s="473"/>
      <c r="M68" s="473"/>
      <c r="N68" s="473"/>
      <c r="O68" s="473"/>
      <c r="P68" s="474"/>
      <c r="Q68" s="516"/>
    </row>
    <row r="69" spans="2:17" x14ac:dyDescent="0.25">
      <c r="B69" s="550"/>
      <c r="C69" s="566" t="s">
        <v>448</v>
      </c>
      <c r="D69" s="567"/>
      <c r="E69" s="546"/>
      <c r="F69" s="1659">
        <v>3.5000000000000003E-2</v>
      </c>
      <c r="G69" s="1348"/>
      <c r="H69" s="546"/>
      <c r="I69" s="466">
        <f>IFERROR(J69/'1B - 4%'!$L$23,"")</f>
        <v>231.875</v>
      </c>
      <c r="J69" s="568">
        <v>18550</v>
      </c>
      <c r="K69" s="556">
        <f t="shared" ref="K69:P70" si="13">J69+(J69*$F69)</f>
        <v>19199.25</v>
      </c>
      <c r="L69" s="556">
        <f t="shared" si="13"/>
        <v>19871.223750000001</v>
      </c>
      <c r="M69" s="556">
        <f t="shared" si="13"/>
        <v>20566.716581250002</v>
      </c>
      <c r="N69" s="556">
        <f t="shared" si="13"/>
        <v>21286.551661593752</v>
      </c>
      <c r="O69" s="556">
        <f t="shared" si="13"/>
        <v>22031.580969749535</v>
      </c>
      <c r="P69" s="557">
        <f t="shared" si="13"/>
        <v>22802.686303690767</v>
      </c>
      <c r="Q69" s="516"/>
    </row>
    <row r="70" spans="2:17" ht="15.75" thickBot="1" x14ac:dyDescent="0.3">
      <c r="B70" s="550"/>
      <c r="C70" s="569" t="s">
        <v>449</v>
      </c>
      <c r="D70" s="561"/>
      <c r="E70" s="562"/>
      <c r="F70" s="1672">
        <v>3.5000000000000003E-2</v>
      </c>
      <c r="G70" s="1347"/>
      <c r="H70" s="554"/>
      <c r="I70" s="468">
        <f>IFERROR(J70/'1B - 4%'!$L$23,"")</f>
        <v>0</v>
      </c>
      <c r="J70" s="789">
        <v>0</v>
      </c>
      <c r="K70" s="564">
        <f t="shared" si="13"/>
        <v>0</v>
      </c>
      <c r="L70" s="564">
        <f t="shared" si="13"/>
        <v>0</v>
      </c>
      <c r="M70" s="564">
        <f t="shared" si="13"/>
        <v>0</v>
      </c>
      <c r="N70" s="564">
        <f t="shared" si="13"/>
        <v>0</v>
      </c>
      <c r="O70" s="564">
        <f t="shared" si="13"/>
        <v>0</v>
      </c>
      <c r="P70" s="565">
        <f t="shared" si="13"/>
        <v>0</v>
      </c>
      <c r="Q70" s="516"/>
    </row>
    <row r="71" spans="2:17" x14ac:dyDescent="0.25">
      <c r="B71" s="550"/>
      <c r="C71" s="475" t="s">
        <v>450</v>
      </c>
      <c r="D71" s="532"/>
      <c r="E71" s="532"/>
      <c r="F71" s="532"/>
      <c r="G71" s="532"/>
      <c r="H71" s="515"/>
      <c r="I71" s="570">
        <f>IFERROR(J71/'1B - 4%'!$L$23,"")</f>
        <v>231.875</v>
      </c>
      <c r="J71" s="469">
        <f>SUM(J69:J70)</f>
        <v>18550</v>
      </c>
      <c r="K71" s="470">
        <f t="shared" ref="K71:P71" si="14">SUM(K69:K70)</f>
        <v>19199.25</v>
      </c>
      <c r="L71" s="470">
        <f t="shared" si="14"/>
        <v>19871.223750000001</v>
      </c>
      <c r="M71" s="470">
        <f t="shared" si="14"/>
        <v>20566.716581250002</v>
      </c>
      <c r="N71" s="470">
        <f t="shared" si="14"/>
        <v>21286.551661593752</v>
      </c>
      <c r="O71" s="470">
        <f t="shared" si="14"/>
        <v>22031.580969749535</v>
      </c>
      <c r="P71" s="471">
        <f t="shared" si="14"/>
        <v>22802.686303690767</v>
      </c>
      <c r="Q71" s="516"/>
    </row>
    <row r="72" spans="2:17" ht="7.5" customHeight="1" thickBot="1" x14ac:dyDescent="0.3">
      <c r="B72" s="550"/>
      <c r="C72" s="475"/>
      <c r="D72" s="532"/>
      <c r="E72" s="532"/>
      <c r="F72" s="532"/>
      <c r="G72" s="532"/>
      <c r="H72" s="515"/>
      <c r="I72" s="570"/>
      <c r="J72" s="472"/>
      <c r="K72" s="473"/>
      <c r="L72" s="473"/>
      <c r="M72" s="473"/>
      <c r="N72" s="473"/>
      <c r="O72" s="473"/>
      <c r="P72" s="474"/>
      <c r="Q72" s="516"/>
    </row>
    <row r="73" spans="2:17" ht="15.75" thickBot="1" x14ac:dyDescent="0.3">
      <c r="B73" s="517"/>
      <c r="C73" s="475" t="s">
        <v>451</v>
      </c>
      <c r="D73" s="532"/>
      <c r="E73" s="339"/>
      <c r="F73" s="1673">
        <v>2.5000000000000001E-2</v>
      </c>
      <c r="G73" s="1349"/>
      <c r="H73" s="546"/>
      <c r="I73" s="1378">
        <f>IFERROR(J73/'1B - 4%'!$L$23,"")</f>
        <v>2855.4129999999996</v>
      </c>
      <c r="J73" s="2051">
        <f>'8D - 9%'!K44</f>
        <v>228433.03999999998</v>
      </c>
      <c r="K73" s="571">
        <f>J73+(J73*$F73)</f>
        <v>234143.86599999998</v>
      </c>
      <c r="L73" s="571">
        <f t="shared" ref="L73:P75" si="15">K73+(K73*$F73)</f>
        <v>239997.46264999997</v>
      </c>
      <c r="M73" s="571">
        <f t="shared" si="15"/>
        <v>245997.39921624996</v>
      </c>
      <c r="N73" s="571">
        <f t="shared" si="15"/>
        <v>252147.33419665621</v>
      </c>
      <c r="O73" s="571">
        <f t="shared" si="15"/>
        <v>258451.01755157262</v>
      </c>
      <c r="P73" s="572">
        <f t="shared" si="15"/>
        <v>264912.29299036192</v>
      </c>
      <c r="Q73" s="516"/>
    </row>
    <row r="74" spans="2:17" ht="7.5" customHeight="1" thickBot="1" x14ac:dyDescent="0.3">
      <c r="B74" s="517"/>
      <c r="C74" s="475"/>
      <c r="D74" s="532"/>
      <c r="E74" s="339"/>
      <c r="F74" s="532"/>
      <c r="G74" s="532"/>
      <c r="H74" s="515"/>
      <c r="I74" s="570"/>
      <c r="J74" s="472"/>
      <c r="K74" s="473"/>
      <c r="L74" s="473"/>
      <c r="M74" s="473"/>
      <c r="N74" s="473"/>
      <c r="O74" s="473"/>
      <c r="P74" s="474"/>
      <c r="Q74" s="516"/>
    </row>
    <row r="75" spans="2:17" ht="15.75" thickBot="1" x14ac:dyDescent="0.3">
      <c r="B75" s="517"/>
      <c r="C75" s="573" t="s">
        <v>452</v>
      </c>
      <c r="D75" s="535"/>
      <c r="E75" s="535"/>
      <c r="F75" s="1674">
        <v>0</v>
      </c>
      <c r="G75" s="1350"/>
      <c r="H75" s="574"/>
      <c r="I75" s="535"/>
      <c r="J75" s="1675">
        <v>0</v>
      </c>
      <c r="K75" s="1676">
        <f>J75+(J75*$F75)</f>
        <v>0</v>
      </c>
      <c r="L75" s="1676">
        <f t="shared" si="15"/>
        <v>0</v>
      </c>
      <c r="M75" s="1676">
        <f t="shared" si="15"/>
        <v>0</v>
      </c>
      <c r="N75" s="1676">
        <f t="shared" si="15"/>
        <v>0</v>
      </c>
      <c r="O75" s="1676">
        <f t="shared" si="15"/>
        <v>0</v>
      </c>
      <c r="P75" s="1677">
        <f>O75+(O75*$F75)</f>
        <v>0</v>
      </c>
      <c r="Q75" s="516"/>
    </row>
    <row r="76" spans="2:17" ht="16.5" thickTop="1" thickBot="1" x14ac:dyDescent="0.3">
      <c r="B76" s="517"/>
      <c r="C76" s="540" t="s">
        <v>453</v>
      </c>
      <c r="D76" s="532"/>
      <c r="E76" s="515"/>
      <c r="F76" s="532"/>
      <c r="G76" s="532"/>
      <c r="H76" s="575"/>
      <c r="I76" s="533" t="s">
        <v>416</v>
      </c>
      <c r="J76" s="476">
        <f>J67+J71+J73+J75</f>
        <v>496444.23</v>
      </c>
      <c r="K76" s="477">
        <f t="shared" ref="K76:P76" si="16">K67+K71+K73+K75</f>
        <v>511350.31265000004</v>
      </c>
      <c r="L76" s="477">
        <f t="shared" si="16"/>
        <v>526718.89568275004</v>
      </c>
      <c r="M76" s="477">
        <f t="shared" si="16"/>
        <v>542564.78726389632</v>
      </c>
      <c r="N76" s="477">
        <f t="shared" si="16"/>
        <v>558903.2833997889</v>
      </c>
      <c r="O76" s="477">
        <f t="shared" si="16"/>
        <v>575750.18441232305</v>
      </c>
      <c r="P76" s="478">
        <f t="shared" si="16"/>
        <v>593121.81198187242</v>
      </c>
      <c r="Q76" s="516"/>
    </row>
    <row r="77" spans="2:17" ht="7.5" customHeight="1" thickBot="1" x14ac:dyDescent="0.3">
      <c r="B77" s="517"/>
      <c r="C77" s="532"/>
      <c r="D77" s="532"/>
      <c r="E77" s="532"/>
      <c r="F77" s="532"/>
      <c r="G77" s="532"/>
      <c r="H77" s="532"/>
      <c r="I77" s="532"/>
      <c r="J77" s="576"/>
      <c r="K77" s="576"/>
      <c r="L77" s="576"/>
      <c r="M77" s="576"/>
      <c r="N77" s="576"/>
      <c r="O77" s="576"/>
      <c r="P77" s="576"/>
      <c r="Q77" s="516"/>
    </row>
    <row r="78" spans="2:17" ht="15.75" thickBot="1" x14ac:dyDescent="0.3">
      <c r="B78" s="517"/>
      <c r="C78" s="540" t="s">
        <v>454</v>
      </c>
      <c r="D78" s="532"/>
      <c r="E78" s="532"/>
      <c r="F78" s="532"/>
      <c r="G78" s="532"/>
      <c r="H78" s="532"/>
      <c r="I78" s="533" t="s">
        <v>416</v>
      </c>
      <c r="J78" s="479">
        <f>J42-J76</f>
        <v>92574.770000000019</v>
      </c>
      <c r="K78" s="480">
        <f t="shared" ref="K78:P78" si="17">K42-K76</f>
        <v>92394.162349999824</v>
      </c>
      <c r="L78" s="480">
        <f t="shared" si="17"/>
        <v>92119.19119225</v>
      </c>
      <c r="M78" s="480">
        <f t="shared" si="17"/>
        <v>91744.251782978652</v>
      </c>
      <c r="N78" s="480">
        <f t="shared" si="17"/>
        <v>91263.48162325786</v>
      </c>
      <c r="O78" s="480">
        <f t="shared" si="17"/>
        <v>90670.749736299855</v>
      </c>
      <c r="P78" s="481">
        <f t="shared" si="17"/>
        <v>89959.645520466147</v>
      </c>
      <c r="Q78" s="516"/>
    </row>
    <row r="79" spans="2:17" x14ac:dyDescent="0.25">
      <c r="B79" s="517"/>
      <c r="C79" s="540"/>
      <c r="D79" s="532"/>
      <c r="E79" s="532"/>
      <c r="F79" s="532"/>
      <c r="G79" s="532"/>
      <c r="H79" s="532"/>
      <c r="I79" s="533"/>
      <c r="J79" s="570"/>
      <c r="K79" s="570"/>
      <c r="L79" s="570"/>
      <c r="M79" s="570"/>
      <c r="N79" s="570"/>
      <c r="O79" s="570"/>
      <c r="P79" s="570"/>
      <c r="Q79" s="516"/>
    </row>
    <row r="80" spans="2:17" ht="15.75" thickBot="1" x14ac:dyDescent="0.3">
      <c r="B80" s="394"/>
      <c r="C80" s="2473" t="s">
        <v>455</v>
      </c>
      <c r="D80" s="2473"/>
      <c r="E80" s="2473"/>
      <c r="F80" s="482"/>
      <c r="G80" s="482"/>
      <c r="H80" s="482"/>
      <c r="I80" s="482"/>
      <c r="J80" s="482"/>
      <c r="K80" s="482"/>
      <c r="L80" s="482"/>
      <c r="M80" s="1351"/>
      <c r="N80" s="1351"/>
      <c r="O80" s="1351"/>
      <c r="P80" s="1351"/>
      <c r="Q80" s="944"/>
    </row>
    <row r="81" spans="2:17" ht="15.75" thickBot="1" x14ac:dyDescent="0.3">
      <c r="B81" s="394"/>
      <c r="C81" s="699" t="s">
        <v>456</v>
      </c>
      <c r="D81" s="942"/>
      <c r="E81" s="1208"/>
      <c r="F81" s="1208"/>
      <c r="G81" s="1208"/>
      <c r="H81" s="2474" t="s">
        <v>457</v>
      </c>
      <c r="I81" s="2475"/>
      <c r="J81" s="446" t="s">
        <v>404</v>
      </c>
      <c r="K81" s="447" t="s">
        <v>405</v>
      </c>
      <c r="L81" s="447" t="s">
        <v>406</v>
      </c>
      <c r="M81" s="447" t="s">
        <v>407</v>
      </c>
      <c r="N81" s="447" t="s">
        <v>408</v>
      </c>
      <c r="O81" s="447" t="s">
        <v>409</v>
      </c>
      <c r="P81" s="448" t="s">
        <v>410</v>
      </c>
      <c r="Q81" s="944"/>
    </row>
    <row r="82" spans="2:17" x14ac:dyDescent="0.25">
      <c r="B82" s="394"/>
      <c r="C82" s="2523" t="s">
        <v>1589</v>
      </c>
      <c r="D82" s="2524"/>
      <c r="E82" s="2524"/>
      <c r="F82" s="2524"/>
      <c r="G82" s="2525"/>
      <c r="H82" s="2517">
        <v>1088276</v>
      </c>
      <c r="I82" s="2518"/>
      <c r="J82" s="1678">
        <v>68005</v>
      </c>
      <c r="K82" s="1679">
        <f t="shared" ref="K82:P82" si="18">J82</f>
        <v>68005</v>
      </c>
      <c r="L82" s="1679">
        <f t="shared" si="18"/>
        <v>68005</v>
      </c>
      <c r="M82" s="1679">
        <f t="shared" si="18"/>
        <v>68005</v>
      </c>
      <c r="N82" s="1679">
        <f t="shared" si="18"/>
        <v>68005</v>
      </c>
      <c r="O82" s="1679">
        <f t="shared" si="18"/>
        <v>68005</v>
      </c>
      <c r="P82" s="1680">
        <f t="shared" si="18"/>
        <v>68005</v>
      </c>
      <c r="Q82" s="944"/>
    </row>
    <row r="83" spans="2:17" x14ac:dyDescent="0.25">
      <c r="B83" s="394"/>
      <c r="C83" s="2532"/>
      <c r="D83" s="2533"/>
      <c r="E83" s="2533"/>
      <c r="F83" s="2533"/>
      <c r="G83" s="2534"/>
      <c r="H83" s="2519">
        <v>0</v>
      </c>
      <c r="I83" s="2520"/>
      <c r="J83" s="1681">
        <v>0</v>
      </c>
      <c r="K83" s="1682">
        <v>0</v>
      </c>
      <c r="L83" s="1682">
        <v>0</v>
      </c>
      <c r="M83" s="1682">
        <v>0</v>
      </c>
      <c r="N83" s="1682">
        <v>0</v>
      </c>
      <c r="O83" s="1682">
        <v>0</v>
      </c>
      <c r="P83" s="1683">
        <v>0</v>
      </c>
      <c r="Q83" s="944"/>
    </row>
    <row r="84" spans="2:17" ht="15.75" thickBot="1" x14ac:dyDescent="0.3">
      <c r="B84" s="394"/>
      <c r="C84" s="2529"/>
      <c r="D84" s="2530"/>
      <c r="E84" s="2530"/>
      <c r="F84" s="2530"/>
      <c r="G84" s="2531"/>
      <c r="H84" s="2521">
        <v>0</v>
      </c>
      <c r="I84" s="2522"/>
      <c r="J84" s="1684">
        <v>0</v>
      </c>
      <c r="K84" s="1685">
        <v>0</v>
      </c>
      <c r="L84" s="1685">
        <v>0</v>
      </c>
      <c r="M84" s="1685">
        <v>0</v>
      </c>
      <c r="N84" s="1685">
        <v>0</v>
      </c>
      <c r="O84" s="1685">
        <v>0</v>
      </c>
      <c r="P84" s="1686">
        <v>0</v>
      </c>
      <c r="Q84" s="944"/>
    </row>
    <row r="85" spans="2:17" ht="15.75" thickTop="1" x14ac:dyDescent="0.25">
      <c r="B85" s="394"/>
      <c r="C85" s="1352"/>
      <c r="D85" s="1352"/>
      <c r="E85" s="1352"/>
      <c r="F85" s="1352"/>
      <c r="G85" s="1352"/>
      <c r="H85" s="1353"/>
      <c r="I85" s="1354" t="s">
        <v>461</v>
      </c>
      <c r="J85" s="483">
        <f>SUM(J82:J84)</f>
        <v>68005</v>
      </c>
      <c r="K85" s="484">
        <f t="shared" ref="K85:P85" si="19">SUM(K82:K84)</f>
        <v>68005</v>
      </c>
      <c r="L85" s="484">
        <f t="shared" si="19"/>
        <v>68005</v>
      </c>
      <c r="M85" s="484">
        <f t="shared" si="19"/>
        <v>68005</v>
      </c>
      <c r="N85" s="484">
        <f t="shared" si="19"/>
        <v>68005</v>
      </c>
      <c r="O85" s="484">
        <f t="shared" si="19"/>
        <v>68005</v>
      </c>
      <c r="P85" s="485">
        <f t="shared" si="19"/>
        <v>68005</v>
      </c>
      <c r="Q85" s="944"/>
    </row>
    <row r="86" spans="2:17" x14ac:dyDescent="0.25">
      <c r="B86" s="394"/>
      <c r="C86" s="1352"/>
      <c r="D86" s="1352"/>
      <c r="E86" s="1352"/>
      <c r="F86" s="1208"/>
      <c r="G86" s="1208"/>
      <c r="H86" s="1804"/>
      <c r="I86" s="1804" t="s">
        <v>462</v>
      </c>
      <c r="J86" s="2071">
        <f>IFERROR(J78/J85,"$0 ")</f>
        <v>1.3612935813543126</v>
      </c>
      <c r="K86" s="2072">
        <f t="shared" ref="K86:P86" si="20">IFERROR(K78/K85,"$0 ")</f>
        <v>1.3586377817807489</v>
      </c>
      <c r="L86" s="2072">
        <f t="shared" si="20"/>
        <v>1.3545943855929712</v>
      </c>
      <c r="M86" s="2072">
        <f t="shared" si="20"/>
        <v>1.3490809761484988</v>
      </c>
      <c r="N86" s="2072">
        <f t="shared" si="20"/>
        <v>1.3420113465665444</v>
      </c>
      <c r="O86" s="2072">
        <f t="shared" si="20"/>
        <v>1.333295342052788</v>
      </c>
      <c r="P86" s="2076">
        <f t="shared" si="20"/>
        <v>1.3228386959850915</v>
      </c>
      <c r="Q86" s="944"/>
    </row>
    <row r="87" spans="2:17" ht="15.75" thickBot="1" x14ac:dyDescent="0.3">
      <c r="B87" s="394"/>
      <c r="C87" s="1352"/>
      <c r="D87" s="1352"/>
      <c r="E87" s="1352"/>
      <c r="F87" s="2491" t="s">
        <v>463</v>
      </c>
      <c r="G87" s="2491"/>
      <c r="H87" s="2491"/>
      <c r="I87" s="2492"/>
      <c r="J87" s="486">
        <f>J78-J85</f>
        <v>24569.770000000019</v>
      </c>
      <c r="K87" s="487">
        <f t="shared" ref="K87:P87" si="21">K78-K85</f>
        <v>24389.162349999824</v>
      </c>
      <c r="L87" s="487">
        <f t="shared" si="21"/>
        <v>24114.19119225</v>
      </c>
      <c r="M87" s="487">
        <f>M78-M85</f>
        <v>23739.251782978652</v>
      </c>
      <c r="N87" s="487">
        <f t="shared" si="21"/>
        <v>23258.48162325786</v>
      </c>
      <c r="O87" s="487">
        <f t="shared" si="21"/>
        <v>22665.749736299855</v>
      </c>
      <c r="P87" s="488">
        <f t="shared" si="21"/>
        <v>21954.645520466147</v>
      </c>
      <c r="Q87" s="944"/>
    </row>
    <row r="88" spans="2:17" ht="15" customHeight="1" thickBot="1" x14ac:dyDescent="0.3">
      <c r="B88" s="394"/>
      <c r="C88" s="1352"/>
      <c r="D88" s="1352"/>
      <c r="E88" s="1352"/>
      <c r="F88" s="1352"/>
      <c r="G88" s="1352"/>
      <c r="H88" s="1353"/>
      <c r="I88" s="1353"/>
      <c r="J88" s="1355"/>
      <c r="K88" s="1355"/>
      <c r="L88" s="1355"/>
      <c r="M88" s="1355"/>
      <c r="N88" s="1355"/>
      <c r="O88" s="1355"/>
      <c r="P88" s="1355"/>
      <c r="Q88" s="944"/>
    </row>
    <row r="89" spans="2:17" ht="15.75" thickBot="1" x14ac:dyDescent="0.3">
      <c r="B89" s="394"/>
      <c r="C89" s="699" t="s">
        <v>464</v>
      </c>
      <c r="D89" s="942"/>
      <c r="E89" s="1208"/>
      <c r="F89" s="1208"/>
      <c r="G89" s="1208"/>
      <c r="H89" s="2474" t="s">
        <v>457</v>
      </c>
      <c r="I89" s="2475"/>
      <c r="J89" s="446" t="s">
        <v>404</v>
      </c>
      <c r="K89" s="447" t="s">
        <v>405</v>
      </c>
      <c r="L89" s="447" t="s">
        <v>406</v>
      </c>
      <c r="M89" s="447" t="s">
        <v>407</v>
      </c>
      <c r="N89" s="447" t="s">
        <v>408</v>
      </c>
      <c r="O89" s="447" t="s">
        <v>409</v>
      </c>
      <c r="P89" s="448" t="s">
        <v>410</v>
      </c>
      <c r="Q89" s="944"/>
    </row>
    <row r="90" spans="2:17" x14ac:dyDescent="0.25">
      <c r="B90" s="394"/>
      <c r="C90" s="2523" t="s">
        <v>1587</v>
      </c>
      <c r="D90" s="2524"/>
      <c r="E90" s="2524"/>
      <c r="F90" s="2524"/>
      <c r="G90" s="2525"/>
      <c r="H90" s="2517">
        <v>500000</v>
      </c>
      <c r="I90" s="2518"/>
      <c r="J90" s="1678">
        <v>0</v>
      </c>
      <c r="K90" s="1679">
        <v>0</v>
      </c>
      <c r="L90" s="1679">
        <v>0</v>
      </c>
      <c r="M90" s="1679">
        <v>0</v>
      </c>
      <c r="N90" s="1679">
        <v>0</v>
      </c>
      <c r="O90" s="1679">
        <v>0</v>
      </c>
      <c r="P90" s="1680">
        <v>0</v>
      </c>
      <c r="Q90" s="944"/>
    </row>
    <row r="91" spans="2:17" x14ac:dyDescent="0.25">
      <c r="B91" s="394"/>
      <c r="C91" s="2526" t="s">
        <v>1590</v>
      </c>
      <c r="D91" s="2527"/>
      <c r="E91" s="2527"/>
      <c r="F91" s="2527"/>
      <c r="G91" s="2528"/>
      <c r="H91" s="2519">
        <v>2500000</v>
      </c>
      <c r="I91" s="2520"/>
      <c r="J91" s="1681">
        <v>0</v>
      </c>
      <c r="K91" s="1682">
        <v>0</v>
      </c>
      <c r="L91" s="1682">
        <v>0</v>
      </c>
      <c r="M91" s="1682">
        <v>0</v>
      </c>
      <c r="N91" s="1682">
        <v>0</v>
      </c>
      <c r="O91" s="1682">
        <v>0</v>
      </c>
      <c r="P91" s="1683">
        <v>0</v>
      </c>
      <c r="Q91" s="944"/>
    </row>
    <row r="92" spans="2:17" x14ac:dyDescent="0.25">
      <c r="B92" s="394"/>
      <c r="C92" s="2526" t="s">
        <v>1588</v>
      </c>
      <c r="D92" s="2527"/>
      <c r="E92" s="2527"/>
      <c r="F92" s="2527"/>
      <c r="G92" s="2528"/>
      <c r="H92" s="2519">
        <v>790000</v>
      </c>
      <c r="I92" s="2520"/>
      <c r="J92" s="1687">
        <v>0</v>
      </c>
      <c r="K92" s="1688">
        <v>0</v>
      </c>
      <c r="L92" s="1688">
        <v>0</v>
      </c>
      <c r="M92" s="1688">
        <v>0</v>
      </c>
      <c r="N92" s="1688">
        <v>0</v>
      </c>
      <c r="O92" s="1688">
        <v>0</v>
      </c>
      <c r="P92" s="1689">
        <v>0</v>
      </c>
      <c r="Q92" s="944"/>
    </row>
    <row r="93" spans="2:17" ht="15.75" thickBot="1" x14ac:dyDescent="0.3">
      <c r="B93" s="394"/>
      <c r="C93" s="2529" t="s">
        <v>460</v>
      </c>
      <c r="D93" s="2530"/>
      <c r="E93" s="2530"/>
      <c r="F93" s="2530"/>
      <c r="G93" s="2531"/>
      <c r="H93" s="2521">
        <v>0</v>
      </c>
      <c r="I93" s="2522"/>
      <c r="J93" s="1690">
        <v>0</v>
      </c>
      <c r="K93" s="1691">
        <v>0</v>
      </c>
      <c r="L93" s="1691">
        <v>0</v>
      </c>
      <c r="M93" s="1691">
        <v>0</v>
      </c>
      <c r="N93" s="1691">
        <v>0</v>
      </c>
      <c r="O93" s="1691">
        <v>0</v>
      </c>
      <c r="P93" s="1692">
        <v>0</v>
      </c>
      <c r="Q93" s="944"/>
    </row>
    <row r="94" spans="2:17" ht="16.5" thickTop="1" thickBot="1" x14ac:dyDescent="0.3">
      <c r="B94" s="394"/>
      <c r="C94" s="1208"/>
      <c r="D94" s="1208"/>
      <c r="E94" s="1208"/>
      <c r="F94" s="2491" t="s">
        <v>465</v>
      </c>
      <c r="G94" s="2491"/>
      <c r="H94" s="2491"/>
      <c r="I94" s="2492"/>
      <c r="J94" s="489">
        <f>SUM(J90:J93)</f>
        <v>0</v>
      </c>
      <c r="K94" s="490">
        <f t="shared" ref="K94:P94" si="22">SUM(K90:K93)</f>
        <v>0</v>
      </c>
      <c r="L94" s="490">
        <f t="shared" si="22"/>
        <v>0</v>
      </c>
      <c r="M94" s="490">
        <f t="shared" si="22"/>
        <v>0</v>
      </c>
      <c r="N94" s="490">
        <f t="shared" si="22"/>
        <v>0</v>
      </c>
      <c r="O94" s="490">
        <f t="shared" si="22"/>
        <v>0</v>
      </c>
      <c r="P94" s="491">
        <f t="shared" si="22"/>
        <v>0</v>
      </c>
      <c r="Q94" s="944"/>
    </row>
    <row r="95" spans="2:17" ht="7.5" customHeight="1" thickBot="1" x14ac:dyDescent="0.3">
      <c r="B95" s="394"/>
      <c r="C95" s="1208"/>
      <c r="D95" s="1208"/>
      <c r="E95" s="1208"/>
      <c r="F95" s="1208"/>
      <c r="G95" s="1208"/>
      <c r="H95" s="1208"/>
      <c r="I95" s="1208"/>
      <c r="J95" s="1208"/>
      <c r="K95" s="1208"/>
      <c r="L95" s="1208"/>
      <c r="M95" s="1208"/>
      <c r="N95" s="1208"/>
      <c r="O95" s="1208"/>
      <c r="P95" s="1208"/>
      <c r="Q95" s="944"/>
    </row>
    <row r="96" spans="2:17" x14ac:dyDescent="0.25">
      <c r="B96" s="394"/>
      <c r="C96" s="1208"/>
      <c r="D96" s="1208"/>
      <c r="E96" s="1208"/>
      <c r="F96" s="2491" t="s">
        <v>466</v>
      </c>
      <c r="G96" s="2491"/>
      <c r="H96" s="2491"/>
      <c r="I96" s="2492"/>
      <c r="J96" s="2073">
        <f>IFERROR(J78/(J85+J94),"$0 ")</f>
        <v>1.3612935813543126</v>
      </c>
      <c r="K96" s="2074">
        <f t="shared" ref="K96:P96" si="23">IFERROR(K78/(K85+K94),"$0 ")</f>
        <v>1.3586377817807489</v>
      </c>
      <c r="L96" s="2074">
        <f t="shared" si="23"/>
        <v>1.3545943855929712</v>
      </c>
      <c r="M96" s="2074">
        <f t="shared" si="23"/>
        <v>1.3490809761484988</v>
      </c>
      <c r="N96" s="2074">
        <f t="shared" si="23"/>
        <v>1.3420113465665444</v>
      </c>
      <c r="O96" s="2074">
        <f t="shared" si="23"/>
        <v>1.333295342052788</v>
      </c>
      <c r="P96" s="2075">
        <f t="shared" si="23"/>
        <v>1.3228386959850915</v>
      </c>
      <c r="Q96" s="944"/>
    </row>
    <row r="97" spans="2:17" ht="15.75" thickBot="1" x14ac:dyDescent="0.3">
      <c r="B97" s="394"/>
      <c r="C97" s="1208"/>
      <c r="D97" s="1208"/>
      <c r="E97" s="1208"/>
      <c r="F97" s="2491" t="s">
        <v>467</v>
      </c>
      <c r="G97" s="2491"/>
      <c r="H97" s="2493"/>
      <c r="I97" s="2494"/>
      <c r="J97" s="1356">
        <f t="shared" ref="J97:P97" si="24">J87-J94</f>
        <v>24569.770000000019</v>
      </c>
      <c r="K97" s="1357">
        <f t="shared" si="24"/>
        <v>24389.162349999824</v>
      </c>
      <c r="L97" s="1358">
        <f t="shared" si="24"/>
        <v>24114.19119225</v>
      </c>
      <c r="M97" s="1358">
        <f t="shared" si="24"/>
        <v>23739.251782978652</v>
      </c>
      <c r="N97" s="1358">
        <f t="shared" si="24"/>
        <v>23258.48162325786</v>
      </c>
      <c r="O97" s="1358">
        <f t="shared" si="24"/>
        <v>22665.749736299855</v>
      </c>
      <c r="P97" s="1359">
        <f t="shared" si="24"/>
        <v>21954.645520466147</v>
      </c>
      <c r="Q97" s="944"/>
    </row>
    <row r="98" spans="2:17" ht="9" customHeight="1" thickBot="1" x14ac:dyDescent="0.3">
      <c r="B98" s="1307"/>
      <c r="C98" s="360"/>
      <c r="D98" s="577"/>
      <c r="E98" s="360"/>
      <c r="F98" s="360"/>
      <c r="G98" s="360"/>
      <c r="H98" s="360"/>
      <c r="I98" s="360"/>
      <c r="J98" s="360"/>
      <c r="K98" s="360"/>
      <c r="L98" s="360"/>
      <c r="M98" s="360"/>
      <c r="N98" s="360"/>
      <c r="O98" s="360"/>
      <c r="P98" s="360"/>
      <c r="Q98" s="361"/>
    </row>
    <row r="99" spans="2:17" ht="9" customHeight="1" x14ac:dyDescent="0.25">
      <c r="B99" s="511"/>
      <c r="C99" s="512"/>
      <c r="D99" s="512"/>
      <c r="E99" s="512"/>
      <c r="F99" s="512"/>
      <c r="G99" s="512"/>
      <c r="H99" s="512"/>
      <c r="I99" s="512"/>
      <c r="J99" s="512"/>
      <c r="K99" s="512"/>
      <c r="L99" s="512"/>
      <c r="M99" s="512"/>
      <c r="N99" s="512"/>
      <c r="O99" s="512"/>
      <c r="P99" s="512"/>
      <c r="Q99" s="513"/>
    </row>
    <row r="100" spans="2:17" ht="18.75" x14ac:dyDescent="0.3">
      <c r="B100" s="514"/>
      <c r="C100" s="2225" t="s">
        <v>1068</v>
      </c>
      <c r="D100" s="2225"/>
      <c r="E100" s="2225"/>
      <c r="F100" s="2225"/>
      <c r="G100" s="2225"/>
      <c r="H100" s="2225"/>
      <c r="I100" s="2225"/>
      <c r="J100" s="2225"/>
      <c r="K100" s="2225"/>
      <c r="L100" s="2225"/>
      <c r="M100" s="2225"/>
      <c r="N100" s="2225"/>
      <c r="O100" s="2225"/>
      <c r="P100" s="2225"/>
      <c r="Q100" s="516"/>
    </row>
    <row r="101" spans="2:17" x14ac:dyDescent="0.25">
      <c r="B101" s="514"/>
      <c r="C101" s="515"/>
      <c r="D101" s="515"/>
      <c r="E101" s="515"/>
      <c r="F101" s="515"/>
      <c r="G101" s="515"/>
      <c r="H101" s="515"/>
      <c r="I101" s="515"/>
      <c r="J101" s="515"/>
      <c r="K101" s="515"/>
      <c r="L101" s="515"/>
      <c r="M101" s="515"/>
      <c r="N101" s="515"/>
      <c r="O101" s="515"/>
      <c r="P101" s="515"/>
      <c r="Q101" s="516"/>
    </row>
    <row r="102" spans="2:17" x14ac:dyDescent="0.25">
      <c r="B102" s="514"/>
      <c r="C102" s="1123" t="s">
        <v>59</v>
      </c>
      <c r="D102" s="1803" t="str">
        <f>IF('1A'!G101="","Enter Project Name on Form 1A",'1A'!G101)</f>
        <v>Enter Project Name on Form 1A</v>
      </c>
      <c r="E102" s="1803"/>
      <c r="F102" s="1803"/>
      <c r="G102" s="1803"/>
      <c r="H102" s="1803"/>
      <c r="I102" s="1803"/>
      <c r="J102" s="1803"/>
      <c r="K102" s="1208"/>
      <c r="L102" s="1208"/>
      <c r="M102" s="1208"/>
      <c r="N102" s="1123"/>
      <c r="O102" s="1123"/>
      <c r="P102" s="1123"/>
      <c r="Q102" s="516"/>
    </row>
    <row r="103" spans="2:17" ht="3.75" customHeight="1" x14ac:dyDescent="0.25">
      <c r="B103" s="514"/>
      <c r="C103" s="1123"/>
      <c r="D103" s="1123"/>
      <c r="E103" s="1123"/>
      <c r="F103" s="1123"/>
      <c r="G103" s="1123"/>
      <c r="H103" s="1123"/>
      <c r="I103" s="1123"/>
      <c r="J103" s="1208"/>
      <c r="K103" s="1208"/>
      <c r="L103" s="1208"/>
      <c r="M103" s="1208"/>
      <c r="N103" s="1123"/>
      <c r="O103" s="1123"/>
      <c r="P103" s="1123"/>
      <c r="Q103" s="516"/>
    </row>
    <row r="104" spans="2:17" x14ac:dyDescent="0.25">
      <c r="B104" s="517"/>
      <c r="C104" s="1123" t="s">
        <v>402</v>
      </c>
      <c r="D104" s="1371">
        <f>IF(N23=0,"",N23)</f>
        <v>42262</v>
      </c>
      <c r="E104" s="518"/>
      <c r="F104" s="518"/>
      <c r="G104" s="518"/>
      <c r="H104" s="518"/>
      <c r="I104" s="518"/>
      <c r="J104" s="519"/>
      <c r="K104" s="519"/>
      <c r="L104" s="519"/>
      <c r="M104" s="519"/>
      <c r="N104" s="519"/>
      <c r="O104" s="520"/>
      <c r="P104" s="519"/>
      <c r="Q104" s="521"/>
    </row>
    <row r="105" spans="2:17" ht="7.5" customHeight="1" x14ac:dyDescent="0.25">
      <c r="B105" s="394"/>
      <c r="C105" s="942"/>
      <c r="D105" s="942"/>
      <c r="E105" s="942"/>
      <c r="F105" s="942"/>
      <c r="G105" s="942"/>
      <c r="H105" s="942"/>
      <c r="I105" s="942"/>
      <c r="J105" s="942"/>
      <c r="K105" s="942"/>
      <c r="L105" s="942"/>
      <c r="M105" s="942"/>
      <c r="N105" s="942"/>
      <c r="O105" s="942"/>
      <c r="P105" s="942"/>
      <c r="Q105" s="944"/>
    </row>
    <row r="106" spans="2:17" ht="15.75" thickBot="1" x14ac:dyDescent="0.3">
      <c r="B106" s="523"/>
      <c r="C106" s="442" t="s">
        <v>403</v>
      </c>
      <c r="D106" s="443"/>
      <c r="E106" s="441"/>
      <c r="F106" s="441"/>
      <c r="G106" s="441"/>
      <c r="H106" s="441"/>
      <c r="I106" s="441"/>
      <c r="J106" s="443"/>
      <c r="K106" s="443"/>
      <c r="L106" s="443"/>
      <c r="M106" s="443"/>
      <c r="N106" s="443"/>
      <c r="O106" s="445"/>
      <c r="P106" s="443"/>
      <c r="Q106" s="525"/>
    </row>
    <row r="107" spans="2:17" ht="15.75" thickBot="1" x14ac:dyDescent="0.3">
      <c r="B107" s="394"/>
      <c r="C107" s="532"/>
      <c r="D107" s="1208"/>
      <c r="E107" s="1208"/>
      <c r="F107" s="1208"/>
      <c r="G107" s="1208"/>
      <c r="H107" s="1208"/>
      <c r="I107" s="492" t="s">
        <v>468</v>
      </c>
      <c r="J107" s="493" t="s">
        <v>469</v>
      </c>
      <c r="K107" s="447" t="s">
        <v>470</v>
      </c>
      <c r="L107" s="447" t="s">
        <v>471</v>
      </c>
      <c r="M107" s="447" t="s">
        <v>472</v>
      </c>
      <c r="N107" s="447" t="s">
        <v>473</v>
      </c>
      <c r="O107" s="447" t="s">
        <v>474</v>
      </c>
      <c r="P107" s="448" t="s">
        <v>475</v>
      </c>
      <c r="Q107" s="944"/>
    </row>
    <row r="108" spans="2:17" x14ac:dyDescent="0.25">
      <c r="B108" s="394"/>
      <c r="C108" s="524" t="s">
        <v>411</v>
      </c>
      <c r="D108" s="1208"/>
      <c r="E108" s="1208"/>
      <c r="F108" s="1208"/>
      <c r="G108" s="1208"/>
      <c r="H108" s="1208"/>
      <c r="I108" s="450"/>
      <c r="J108" s="451"/>
      <c r="K108" s="451"/>
      <c r="L108" s="451"/>
      <c r="M108" s="451"/>
      <c r="N108" s="451"/>
      <c r="O108" s="451"/>
      <c r="P108" s="452"/>
      <c r="Q108" s="944"/>
    </row>
    <row r="109" spans="2:17" x14ac:dyDescent="0.25">
      <c r="B109" s="394"/>
      <c r="C109" s="578" t="s">
        <v>413</v>
      </c>
      <c r="D109" s="1208"/>
      <c r="E109" s="1208"/>
      <c r="F109" s="1208"/>
      <c r="G109" s="1208"/>
      <c r="H109" s="1208"/>
      <c r="I109" s="568">
        <f>P28+(P28*$H28)</f>
        <v>438582.25041643844</v>
      </c>
      <c r="J109" s="579">
        <f>I109+(I109*$H28)</f>
        <v>449546.80667684943</v>
      </c>
      <c r="K109" s="579">
        <f t="shared" ref="K109:P110" si="25">J109+(J109*$H28)</f>
        <v>460785.47684377065</v>
      </c>
      <c r="L109" s="579">
        <f t="shared" si="25"/>
        <v>472305.11376486492</v>
      </c>
      <c r="M109" s="579">
        <f t="shared" si="25"/>
        <v>484112.74160898651</v>
      </c>
      <c r="N109" s="579">
        <f t="shared" si="25"/>
        <v>496215.5601492112</v>
      </c>
      <c r="O109" s="579">
        <f t="shared" si="25"/>
        <v>508620.94915294147</v>
      </c>
      <c r="P109" s="580">
        <f t="shared" si="25"/>
        <v>521336.47288176499</v>
      </c>
      <c r="Q109" s="944"/>
    </row>
    <row r="110" spans="2:17" x14ac:dyDescent="0.25">
      <c r="B110" s="394"/>
      <c r="C110" s="578" t="s">
        <v>361</v>
      </c>
      <c r="D110" s="1208"/>
      <c r="E110" s="1208"/>
      <c r="F110" s="1208"/>
      <c r="G110" s="1208"/>
      <c r="H110" s="1208"/>
      <c r="I110" s="568">
        <f>P29+(P29*$H29)</f>
        <v>0</v>
      </c>
      <c r="J110" s="579">
        <f>I110+(I110*$H29)</f>
        <v>0</v>
      </c>
      <c r="K110" s="579">
        <f t="shared" si="25"/>
        <v>0</v>
      </c>
      <c r="L110" s="579">
        <f t="shared" si="25"/>
        <v>0</v>
      </c>
      <c r="M110" s="579">
        <f t="shared" si="25"/>
        <v>0</v>
      </c>
      <c r="N110" s="579">
        <f t="shared" si="25"/>
        <v>0</v>
      </c>
      <c r="O110" s="579">
        <f t="shared" si="25"/>
        <v>0</v>
      </c>
      <c r="P110" s="580">
        <f>O110+(O110*$H29)</f>
        <v>0</v>
      </c>
      <c r="Q110" s="944"/>
    </row>
    <row r="111" spans="2:17" x14ac:dyDescent="0.25">
      <c r="B111" s="394"/>
      <c r="C111" s="578" t="s">
        <v>371</v>
      </c>
      <c r="D111" s="1208"/>
      <c r="E111" s="1208"/>
      <c r="F111" s="1208"/>
      <c r="G111" s="1208"/>
      <c r="H111" s="1208"/>
      <c r="I111" s="568">
        <v>0</v>
      </c>
      <c r="J111" s="579">
        <v>0</v>
      </c>
      <c r="K111" s="579">
        <v>0</v>
      </c>
      <c r="L111" s="579">
        <v>0</v>
      </c>
      <c r="M111" s="579">
        <v>0</v>
      </c>
      <c r="N111" s="579">
        <v>0</v>
      </c>
      <c r="O111" s="579">
        <v>0</v>
      </c>
      <c r="P111" s="580">
        <v>0</v>
      </c>
      <c r="Q111" s="944"/>
    </row>
    <row r="112" spans="2:17" x14ac:dyDescent="0.25">
      <c r="B112" s="394"/>
      <c r="C112" s="578" t="s">
        <v>476</v>
      </c>
      <c r="D112" s="2506" t="str">
        <f>IF(D31=0,"",D31)</f>
        <v>Laundry</v>
      </c>
      <c r="E112" s="2507"/>
      <c r="F112" s="2507"/>
      <c r="G112" s="591"/>
      <c r="H112" s="532"/>
      <c r="I112" s="568">
        <f>P31+(P31*$H31)</f>
        <v>7875.0431180519108</v>
      </c>
      <c r="J112" s="579">
        <f>I112+(I112*$H31)</f>
        <v>8071.9191960032085</v>
      </c>
      <c r="K112" s="579">
        <f t="shared" ref="K112:P113" si="26">J112+(J112*$H31)</f>
        <v>8273.7171759032881</v>
      </c>
      <c r="L112" s="579">
        <f t="shared" si="26"/>
        <v>8480.5601053008704</v>
      </c>
      <c r="M112" s="579">
        <f t="shared" si="26"/>
        <v>8692.574107933393</v>
      </c>
      <c r="N112" s="579">
        <f t="shared" si="26"/>
        <v>8909.8884606317279</v>
      </c>
      <c r="O112" s="579">
        <f t="shared" si="26"/>
        <v>9132.6356721475204</v>
      </c>
      <c r="P112" s="580">
        <f t="shared" si="26"/>
        <v>9360.9515639512083</v>
      </c>
      <c r="Q112" s="944"/>
    </row>
    <row r="113" spans="2:17" x14ac:dyDescent="0.25">
      <c r="B113" s="394"/>
      <c r="C113" s="560" t="s">
        <v>476</v>
      </c>
      <c r="D113" s="2506" t="str">
        <f>IF(D32=0,"",D32)</f>
        <v>Fee/Interest</v>
      </c>
      <c r="E113" s="2507"/>
      <c r="F113" s="2507"/>
      <c r="G113" s="591"/>
      <c r="H113" s="532"/>
      <c r="I113" s="568">
        <f>P32+(P32*$H32)</f>
        <v>4725.0258708311458</v>
      </c>
      <c r="J113" s="579">
        <f>I113+(I113*$H32)</f>
        <v>4843.1515176019248</v>
      </c>
      <c r="K113" s="579">
        <f t="shared" si="26"/>
        <v>4964.2303055419725</v>
      </c>
      <c r="L113" s="579">
        <f t="shared" si="26"/>
        <v>5088.3360631805217</v>
      </c>
      <c r="M113" s="579">
        <f t="shared" si="26"/>
        <v>5215.5444647600343</v>
      </c>
      <c r="N113" s="579">
        <f t="shared" si="26"/>
        <v>5345.9330763790349</v>
      </c>
      <c r="O113" s="579">
        <f t="shared" si="26"/>
        <v>5479.581403288511</v>
      </c>
      <c r="P113" s="580">
        <f t="shared" si="26"/>
        <v>5616.5709383707235</v>
      </c>
      <c r="Q113" s="944"/>
    </row>
    <row r="114" spans="2:17" x14ac:dyDescent="0.25">
      <c r="B114" s="394"/>
      <c r="C114" s="532" t="s">
        <v>415</v>
      </c>
      <c r="D114" s="1208"/>
      <c r="E114" s="1208"/>
      <c r="F114" s="1208"/>
      <c r="G114" s="1208"/>
      <c r="H114" s="1208"/>
      <c r="I114" s="494">
        <f>SUM(I109:I113)</f>
        <v>451182.3194053215</v>
      </c>
      <c r="J114" s="495">
        <f t="shared" ref="J114:O114" si="27">SUM(J109:J113)</f>
        <v>462461.87739045458</v>
      </c>
      <c r="K114" s="495">
        <f t="shared" si="27"/>
        <v>474023.42432521586</v>
      </c>
      <c r="L114" s="495">
        <f t="shared" si="27"/>
        <v>485874.0099333463</v>
      </c>
      <c r="M114" s="495">
        <f t="shared" si="27"/>
        <v>498020.86018167995</v>
      </c>
      <c r="N114" s="495">
        <f t="shared" si="27"/>
        <v>510471.38168622192</v>
      </c>
      <c r="O114" s="495">
        <f t="shared" si="27"/>
        <v>523233.16622837749</v>
      </c>
      <c r="P114" s="496">
        <f>SUM(P109:P113)</f>
        <v>536313.99538408697</v>
      </c>
      <c r="Q114" s="944"/>
    </row>
    <row r="115" spans="2:17" x14ac:dyDescent="0.25">
      <c r="B115" s="394"/>
      <c r="C115" s="532"/>
      <c r="D115" s="1208"/>
      <c r="E115" s="1208"/>
      <c r="F115" s="1208"/>
      <c r="G115" s="1208"/>
      <c r="H115" s="1208"/>
      <c r="I115" s="497"/>
      <c r="J115" s="498"/>
      <c r="K115" s="498"/>
      <c r="L115" s="498"/>
      <c r="M115" s="498"/>
      <c r="N115" s="498"/>
      <c r="O115" s="498"/>
      <c r="P115" s="499"/>
      <c r="Q115" s="944"/>
    </row>
    <row r="116" spans="2:17" x14ac:dyDescent="0.25">
      <c r="B116" s="394"/>
      <c r="C116" s="532" t="s">
        <v>417</v>
      </c>
      <c r="D116" s="1208"/>
      <c r="E116" s="1208"/>
      <c r="F116" s="1208"/>
      <c r="G116" s="1208"/>
      <c r="H116" s="1208"/>
      <c r="I116" s="1693">
        <f>P35*1.025</f>
        <v>271535.29050484148</v>
      </c>
      <c r="J116" s="1694">
        <f t="shared" ref="J116:P116" si="28">I116*1.025</f>
        <v>278323.6727674625</v>
      </c>
      <c r="K116" s="1694">
        <f t="shared" si="28"/>
        <v>285281.76458664902</v>
      </c>
      <c r="L116" s="1694">
        <f t="shared" si="28"/>
        <v>292413.8087013152</v>
      </c>
      <c r="M116" s="1694">
        <f t="shared" si="28"/>
        <v>299724.15391884802</v>
      </c>
      <c r="N116" s="1694">
        <f t="shared" si="28"/>
        <v>307217.25776681921</v>
      </c>
      <c r="O116" s="1694">
        <f t="shared" si="28"/>
        <v>314897.68921098969</v>
      </c>
      <c r="P116" s="1695">
        <f t="shared" si="28"/>
        <v>322770.13144126441</v>
      </c>
      <c r="Q116" s="944"/>
    </row>
    <row r="117" spans="2:17" x14ac:dyDescent="0.25">
      <c r="B117" s="394"/>
      <c r="C117" s="532"/>
      <c r="D117" s="1208"/>
      <c r="E117" s="1208"/>
      <c r="F117" s="1208"/>
      <c r="G117" s="1208"/>
      <c r="H117" s="1208"/>
      <c r="I117" s="497"/>
      <c r="J117" s="498"/>
      <c r="K117" s="498"/>
      <c r="L117" s="498"/>
      <c r="M117" s="498"/>
      <c r="N117" s="498"/>
      <c r="O117" s="498"/>
      <c r="P117" s="499"/>
      <c r="Q117" s="944"/>
    </row>
    <row r="118" spans="2:17" ht="15.75" thickBot="1" x14ac:dyDescent="0.3">
      <c r="B118" s="394"/>
      <c r="C118" s="535" t="s">
        <v>418</v>
      </c>
      <c r="D118" s="1336"/>
      <c r="E118" s="1336"/>
      <c r="F118" s="1336"/>
      <c r="G118" s="1336"/>
      <c r="H118" s="1336"/>
      <c r="I118" s="1696">
        <v>0</v>
      </c>
      <c r="J118" s="1697">
        <v>0</v>
      </c>
      <c r="K118" s="1697">
        <v>0</v>
      </c>
      <c r="L118" s="1697">
        <v>0</v>
      </c>
      <c r="M118" s="1697">
        <v>0</v>
      </c>
      <c r="N118" s="1697">
        <v>0</v>
      </c>
      <c r="O118" s="1697">
        <v>0</v>
      </c>
      <c r="P118" s="1698">
        <v>0</v>
      </c>
      <c r="Q118" s="944"/>
    </row>
    <row r="119" spans="2:17" ht="15.75" thickTop="1" x14ac:dyDescent="0.25">
      <c r="B119" s="394"/>
      <c r="C119" s="524" t="s">
        <v>419</v>
      </c>
      <c r="D119" s="1208"/>
      <c r="E119" s="1208"/>
      <c r="F119" s="1208"/>
      <c r="G119" s="1208"/>
      <c r="H119" s="1208"/>
      <c r="I119" s="500">
        <f>I114+I116+I118</f>
        <v>722717.60991016298</v>
      </c>
      <c r="J119" s="501">
        <f t="shared" ref="J119:O119" si="29">J114+J116+J118</f>
        <v>740785.55015791708</v>
      </c>
      <c r="K119" s="501">
        <f t="shared" si="29"/>
        <v>759305.18891186488</v>
      </c>
      <c r="L119" s="501">
        <f t="shared" si="29"/>
        <v>778287.8186346615</v>
      </c>
      <c r="M119" s="501">
        <f t="shared" si="29"/>
        <v>797745.01410052797</v>
      </c>
      <c r="N119" s="501">
        <f t="shared" si="29"/>
        <v>817688.63945304113</v>
      </c>
      <c r="O119" s="501">
        <f t="shared" si="29"/>
        <v>838130.85543936724</v>
      </c>
      <c r="P119" s="502">
        <f>P114+P116+P118</f>
        <v>859084.12682535138</v>
      </c>
      <c r="Q119" s="944"/>
    </row>
    <row r="120" spans="2:17" x14ac:dyDescent="0.25">
      <c r="B120" s="394"/>
      <c r="C120" s="524"/>
      <c r="D120" s="1208"/>
      <c r="E120" s="1208"/>
      <c r="F120" s="1208"/>
      <c r="G120" s="1208"/>
      <c r="H120" s="1208"/>
      <c r="I120" s="497"/>
      <c r="J120" s="498"/>
      <c r="K120" s="498"/>
      <c r="L120" s="498"/>
      <c r="M120" s="498"/>
      <c r="N120" s="498"/>
      <c r="O120" s="498"/>
      <c r="P120" s="499"/>
      <c r="Q120" s="944"/>
    </row>
    <row r="121" spans="2:17" x14ac:dyDescent="0.25">
      <c r="B121" s="394"/>
      <c r="C121" s="581" t="s">
        <v>477</v>
      </c>
      <c r="D121" s="1208"/>
      <c r="E121" s="1208"/>
      <c r="F121" s="1208"/>
      <c r="G121" s="1208"/>
      <c r="H121" s="1208"/>
      <c r="I121" s="1360">
        <f>-I114*$H40</f>
        <v>-22559.115970266077</v>
      </c>
      <c r="J121" s="1361">
        <f t="shared" ref="J121:P121" si="30">-J114*$H40</f>
        <v>-23123.093869522731</v>
      </c>
      <c r="K121" s="1361">
        <f t="shared" si="30"/>
        <v>-23701.171216260795</v>
      </c>
      <c r="L121" s="1361">
        <f t="shared" si="30"/>
        <v>-24293.700496667316</v>
      </c>
      <c r="M121" s="1361">
        <f t="shared" si="30"/>
        <v>-24901.043009083998</v>
      </c>
      <c r="N121" s="1361">
        <f t="shared" si="30"/>
        <v>-25523.569084311097</v>
      </c>
      <c r="O121" s="1361">
        <f t="shared" si="30"/>
        <v>-26161.658311418876</v>
      </c>
      <c r="P121" s="1362">
        <f t="shared" si="30"/>
        <v>-26815.699769204351</v>
      </c>
      <c r="Q121" s="944"/>
    </row>
    <row r="122" spans="2:17" ht="15.75" thickBot="1" x14ac:dyDescent="0.3">
      <c r="B122" s="394"/>
      <c r="C122" s="539" t="s">
        <v>478</v>
      </c>
      <c r="D122" s="1336"/>
      <c r="E122" s="1336"/>
      <c r="F122" s="1336"/>
      <c r="G122" s="1336"/>
      <c r="H122" s="1336"/>
      <c r="I122" s="1363">
        <f>-I118*$H41</f>
        <v>0</v>
      </c>
      <c r="J122" s="1364">
        <f>-J118*$H41</f>
        <v>0</v>
      </c>
      <c r="K122" s="1364">
        <f t="shared" ref="K122:P122" si="31">-K118*$H41</f>
        <v>0</v>
      </c>
      <c r="L122" s="1364">
        <f t="shared" si="31"/>
        <v>0</v>
      </c>
      <c r="M122" s="1364">
        <f t="shared" si="31"/>
        <v>0</v>
      </c>
      <c r="N122" s="1364">
        <f t="shared" si="31"/>
        <v>0</v>
      </c>
      <c r="O122" s="1364">
        <f t="shared" si="31"/>
        <v>0</v>
      </c>
      <c r="P122" s="1365">
        <f t="shared" si="31"/>
        <v>0</v>
      </c>
      <c r="Q122" s="944"/>
    </row>
    <row r="123" spans="2:17" ht="16.5" thickTop="1" thickBot="1" x14ac:dyDescent="0.3">
      <c r="B123" s="394"/>
      <c r="C123" s="540" t="s">
        <v>423</v>
      </c>
      <c r="D123" s="1208"/>
      <c r="E123" s="1208"/>
      <c r="F123" s="1208"/>
      <c r="G123" s="1208"/>
      <c r="H123" s="1208"/>
      <c r="I123" s="503">
        <f>I119+I121+I122</f>
        <v>700158.49393989693</v>
      </c>
      <c r="J123" s="504">
        <f t="shared" ref="J123:O123" si="32">J119+J121+J122</f>
        <v>717662.4562883944</v>
      </c>
      <c r="K123" s="505">
        <f t="shared" si="32"/>
        <v>735604.01769560413</v>
      </c>
      <c r="L123" s="505">
        <f t="shared" si="32"/>
        <v>753994.1181379942</v>
      </c>
      <c r="M123" s="505">
        <f t="shared" si="32"/>
        <v>772843.97109144402</v>
      </c>
      <c r="N123" s="505">
        <f t="shared" si="32"/>
        <v>792165.07036873</v>
      </c>
      <c r="O123" s="505">
        <f t="shared" si="32"/>
        <v>811969.1971279484</v>
      </c>
      <c r="P123" s="506">
        <f>P119+P121+P122</f>
        <v>832268.42705614702</v>
      </c>
      <c r="Q123" s="944"/>
    </row>
    <row r="124" spans="2:17" ht="7.5" customHeight="1" x14ac:dyDescent="0.25">
      <c r="B124" s="394"/>
      <c r="C124" s="942"/>
      <c r="D124" s="942"/>
      <c r="E124" s="942"/>
      <c r="F124" s="942"/>
      <c r="G124" s="942"/>
      <c r="H124" s="942"/>
      <c r="I124" s="942"/>
      <c r="J124" s="942"/>
      <c r="K124" s="942"/>
      <c r="L124" s="942"/>
      <c r="M124" s="942"/>
      <c r="N124" s="942"/>
      <c r="O124" s="942"/>
      <c r="P124" s="942"/>
      <c r="Q124" s="944"/>
    </row>
    <row r="125" spans="2:17" ht="15.75" thickBot="1" x14ac:dyDescent="0.3">
      <c r="B125" s="517"/>
      <c r="C125" s="462" t="s">
        <v>424</v>
      </c>
      <c r="D125" s="463"/>
      <c r="E125" s="463"/>
      <c r="F125" s="463"/>
      <c r="G125" s="463"/>
      <c r="H125" s="463"/>
      <c r="I125" s="463"/>
      <c r="J125" s="463"/>
      <c r="K125" s="463"/>
      <c r="L125" s="463"/>
      <c r="M125" s="464"/>
      <c r="N125" s="463"/>
      <c r="O125" s="463"/>
      <c r="P125" s="463"/>
      <c r="Q125" s="521"/>
    </row>
    <row r="126" spans="2:17" ht="15.75" thickBot="1" x14ac:dyDescent="0.3">
      <c r="B126" s="517"/>
      <c r="C126" s="524" t="s">
        <v>425</v>
      </c>
      <c r="D126" s="515"/>
      <c r="E126" s="532"/>
      <c r="F126" s="942"/>
      <c r="G126" s="942"/>
      <c r="H126" s="515"/>
      <c r="I126" s="446" t="s">
        <v>468</v>
      </c>
      <c r="J126" s="446" t="s">
        <v>469</v>
      </c>
      <c r="K126" s="446" t="s">
        <v>470</v>
      </c>
      <c r="L126" s="446" t="s">
        <v>471</v>
      </c>
      <c r="M126" s="446" t="s">
        <v>472</v>
      </c>
      <c r="N126" s="446" t="s">
        <v>473</v>
      </c>
      <c r="O126" s="446" t="s">
        <v>474</v>
      </c>
      <c r="P126" s="492" t="s">
        <v>475</v>
      </c>
      <c r="Q126" s="516"/>
    </row>
    <row r="127" spans="2:17" x14ac:dyDescent="0.25">
      <c r="B127" s="517"/>
      <c r="C127" s="543" t="s">
        <v>427</v>
      </c>
      <c r="D127" s="544"/>
      <c r="E127" s="545"/>
      <c r="F127" s="544"/>
      <c r="G127" s="544"/>
      <c r="H127" s="545"/>
      <c r="I127" s="547">
        <f t="shared" ref="I127:I147" si="33">P46+($F46*P46)</f>
        <v>81011.351510458742</v>
      </c>
      <c r="J127" s="548">
        <f t="shared" ref="J127:P142" si="34">I127+(I127*$F46)</f>
        <v>83846.748813324797</v>
      </c>
      <c r="K127" s="548">
        <f t="shared" si="34"/>
        <v>86781.385021791168</v>
      </c>
      <c r="L127" s="548">
        <f t="shared" si="34"/>
        <v>89818.733497553854</v>
      </c>
      <c r="M127" s="548">
        <f t="shared" si="34"/>
        <v>92962.389169968243</v>
      </c>
      <c r="N127" s="548">
        <f t="shared" si="34"/>
        <v>96216.072790917126</v>
      </c>
      <c r="O127" s="548">
        <f t="shared" si="34"/>
        <v>99583.635338599226</v>
      </c>
      <c r="P127" s="549">
        <f t="shared" si="34"/>
        <v>103069.0625754502</v>
      </c>
      <c r="Q127" s="516"/>
    </row>
    <row r="128" spans="2:17" x14ac:dyDescent="0.25">
      <c r="B128" s="517"/>
      <c r="C128" s="551" t="s">
        <v>428</v>
      </c>
      <c r="D128" s="552"/>
      <c r="E128" s="553"/>
      <c r="F128" s="552"/>
      <c r="G128" s="552"/>
      <c r="H128" s="553"/>
      <c r="I128" s="555">
        <f t="shared" si="33"/>
        <v>42009.34322038832</v>
      </c>
      <c r="J128" s="556">
        <f t="shared" si="34"/>
        <v>43059.57680089803</v>
      </c>
      <c r="K128" s="556">
        <f t="shared" si="34"/>
        <v>44136.066220920482</v>
      </c>
      <c r="L128" s="556">
        <f t="shared" si="34"/>
        <v>45239.467876443494</v>
      </c>
      <c r="M128" s="556">
        <f t="shared" si="34"/>
        <v>46370.454573354582</v>
      </c>
      <c r="N128" s="556">
        <f t="shared" si="34"/>
        <v>47529.715937688445</v>
      </c>
      <c r="O128" s="556">
        <f t="shared" si="34"/>
        <v>48717.958836130652</v>
      </c>
      <c r="P128" s="557">
        <f t="shared" si="34"/>
        <v>49935.907807033916</v>
      </c>
      <c r="Q128" s="516"/>
    </row>
    <row r="129" spans="2:17" x14ac:dyDescent="0.25">
      <c r="B129" s="517"/>
      <c r="C129" s="551" t="s">
        <v>429</v>
      </c>
      <c r="D129" s="552"/>
      <c r="E129" s="553"/>
      <c r="F129" s="552"/>
      <c r="G129" s="552"/>
      <c r="H129" s="553"/>
      <c r="I129" s="555">
        <f t="shared" si="33"/>
        <v>10814.373733515878</v>
      </c>
      <c r="J129" s="556">
        <f t="shared" si="34"/>
        <v>11192.876814188934</v>
      </c>
      <c r="K129" s="556">
        <f t="shared" si="34"/>
        <v>11584.627502685547</v>
      </c>
      <c r="L129" s="556">
        <f t="shared" si="34"/>
        <v>11990.089465279541</v>
      </c>
      <c r="M129" s="556">
        <f t="shared" si="34"/>
        <v>12409.742596564325</v>
      </c>
      <c r="N129" s="556">
        <f t="shared" si="34"/>
        <v>12844.083587444076</v>
      </c>
      <c r="O129" s="556">
        <f t="shared" si="34"/>
        <v>13293.626513004619</v>
      </c>
      <c r="P129" s="557">
        <f t="shared" si="34"/>
        <v>13758.903440959781</v>
      </c>
      <c r="Q129" s="516"/>
    </row>
    <row r="130" spans="2:17" x14ac:dyDescent="0.25">
      <c r="B130" s="517"/>
      <c r="C130" s="551" t="s">
        <v>430</v>
      </c>
      <c r="D130" s="553"/>
      <c r="E130" s="552"/>
      <c r="F130" s="582"/>
      <c r="G130" s="582"/>
      <c r="H130" s="553"/>
      <c r="I130" s="555">
        <f t="shared" si="33"/>
        <v>1348.616018532568</v>
      </c>
      <c r="J130" s="556">
        <f t="shared" si="34"/>
        <v>1395.8175791812077</v>
      </c>
      <c r="K130" s="556">
        <f t="shared" si="34"/>
        <v>1444.67119445255</v>
      </c>
      <c r="L130" s="556">
        <f t="shared" si="34"/>
        <v>1495.2346862583893</v>
      </c>
      <c r="M130" s="556">
        <f t="shared" si="34"/>
        <v>1547.567900277433</v>
      </c>
      <c r="N130" s="556">
        <f t="shared" si="34"/>
        <v>1601.7327767871432</v>
      </c>
      <c r="O130" s="556">
        <f t="shared" si="34"/>
        <v>1657.7934239746933</v>
      </c>
      <c r="P130" s="557">
        <f t="shared" si="34"/>
        <v>1715.8161938138076</v>
      </c>
      <c r="Q130" s="516"/>
    </row>
    <row r="131" spans="2:17" x14ac:dyDescent="0.25">
      <c r="B131" s="517"/>
      <c r="C131" s="551" t="s">
        <v>431</v>
      </c>
      <c r="D131" s="552"/>
      <c r="E131" s="553"/>
      <c r="F131" s="552"/>
      <c r="G131" s="552"/>
      <c r="H131" s="553"/>
      <c r="I131" s="555">
        <f t="shared" si="33"/>
        <v>20229.240277988523</v>
      </c>
      <c r="J131" s="556">
        <f t="shared" si="34"/>
        <v>20937.263687718121</v>
      </c>
      <c r="K131" s="556">
        <f t="shared" si="34"/>
        <v>21670.067916788255</v>
      </c>
      <c r="L131" s="556">
        <f t="shared" si="34"/>
        <v>22428.520293875845</v>
      </c>
      <c r="M131" s="556">
        <f t="shared" si="34"/>
        <v>23213.5185041615</v>
      </c>
      <c r="N131" s="556">
        <f t="shared" si="34"/>
        <v>24025.991651807151</v>
      </c>
      <c r="O131" s="556">
        <f t="shared" si="34"/>
        <v>24866.901359620402</v>
      </c>
      <c r="P131" s="557">
        <f t="shared" si="34"/>
        <v>25737.242907207117</v>
      </c>
      <c r="Q131" s="516"/>
    </row>
    <row r="132" spans="2:17" x14ac:dyDescent="0.25">
      <c r="B132" s="517"/>
      <c r="C132" s="551" t="s">
        <v>432</v>
      </c>
      <c r="D132" s="552"/>
      <c r="E132" s="553"/>
      <c r="F132" s="583"/>
      <c r="G132" s="583"/>
      <c r="H132" s="553"/>
      <c r="I132" s="555">
        <f t="shared" si="33"/>
        <v>1165.4078046941816</v>
      </c>
      <c r="J132" s="556">
        <f t="shared" si="34"/>
        <v>1206.197077858478</v>
      </c>
      <c r="K132" s="556">
        <f t="shared" si="34"/>
        <v>1248.4139755835247</v>
      </c>
      <c r="L132" s="556">
        <f t="shared" si="34"/>
        <v>1292.1084647289481</v>
      </c>
      <c r="M132" s="556">
        <f t="shared" si="34"/>
        <v>1337.3322609944612</v>
      </c>
      <c r="N132" s="556">
        <f t="shared" si="34"/>
        <v>1384.1388901292673</v>
      </c>
      <c r="O132" s="556">
        <f t="shared" si="34"/>
        <v>1432.5837512837918</v>
      </c>
      <c r="P132" s="557">
        <f t="shared" si="34"/>
        <v>1482.7241825787246</v>
      </c>
      <c r="Q132" s="516"/>
    </row>
    <row r="133" spans="2:17" x14ac:dyDescent="0.25">
      <c r="B133" s="517"/>
      <c r="C133" s="551" t="s">
        <v>433</v>
      </c>
      <c r="D133" s="552"/>
      <c r="E133" s="553"/>
      <c r="F133" s="552"/>
      <c r="G133" s="552"/>
      <c r="H133" s="553"/>
      <c r="I133" s="555">
        <f t="shared" si="33"/>
        <v>608.14948760242225</v>
      </c>
      <c r="J133" s="556">
        <f t="shared" si="34"/>
        <v>629.434719668507</v>
      </c>
      <c r="K133" s="556">
        <f t="shared" si="34"/>
        <v>651.46493485690473</v>
      </c>
      <c r="L133" s="556">
        <f t="shared" si="34"/>
        <v>674.26620757689636</v>
      </c>
      <c r="M133" s="556">
        <f t="shared" si="34"/>
        <v>697.86552484208778</v>
      </c>
      <c r="N133" s="556">
        <f t="shared" si="34"/>
        <v>722.2908182115608</v>
      </c>
      <c r="O133" s="556">
        <f t="shared" si="34"/>
        <v>747.57099684896548</v>
      </c>
      <c r="P133" s="557">
        <f t="shared" si="34"/>
        <v>773.73598173867924</v>
      </c>
      <c r="Q133" s="516"/>
    </row>
    <row r="134" spans="2:17" x14ac:dyDescent="0.25">
      <c r="B134" s="517"/>
      <c r="C134" s="551" t="s">
        <v>434</v>
      </c>
      <c r="D134" s="553"/>
      <c r="E134" s="552"/>
      <c r="F134" s="582"/>
      <c r="G134" s="582"/>
      <c r="H134" s="553"/>
      <c r="I134" s="555">
        <f t="shared" si="33"/>
        <v>0</v>
      </c>
      <c r="J134" s="556">
        <f t="shared" si="34"/>
        <v>0</v>
      </c>
      <c r="K134" s="556">
        <f t="shared" si="34"/>
        <v>0</v>
      </c>
      <c r="L134" s="556">
        <f t="shared" si="34"/>
        <v>0</v>
      </c>
      <c r="M134" s="556">
        <f t="shared" si="34"/>
        <v>0</v>
      </c>
      <c r="N134" s="556">
        <f t="shared" si="34"/>
        <v>0</v>
      </c>
      <c r="O134" s="556">
        <f t="shared" si="34"/>
        <v>0</v>
      </c>
      <c r="P134" s="557">
        <f t="shared" si="34"/>
        <v>0</v>
      </c>
      <c r="Q134" s="516"/>
    </row>
    <row r="135" spans="2:17" x14ac:dyDescent="0.25">
      <c r="B135" s="517"/>
      <c r="C135" s="551" t="s">
        <v>435</v>
      </c>
      <c r="D135" s="552"/>
      <c r="E135" s="553"/>
      <c r="F135" s="552"/>
      <c r="G135" s="552"/>
      <c r="H135" s="553"/>
      <c r="I135" s="555">
        <f t="shared" si="33"/>
        <v>6068.7720833965559</v>
      </c>
      <c r="J135" s="556">
        <f t="shared" si="34"/>
        <v>6281.1791063154351</v>
      </c>
      <c r="K135" s="556">
        <f t="shared" si="34"/>
        <v>6501.0203750364753</v>
      </c>
      <c r="L135" s="556">
        <f t="shared" si="34"/>
        <v>6728.5560881627516</v>
      </c>
      <c r="M135" s="556">
        <f t="shared" si="34"/>
        <v>6964.055551248448</v>
      </c>
      <c r="N135" s="556">
        <f t="shared" si="34"/>
        <v>7207.7974955421432</v>
      </c>
      <c r="O135" s="556">
        <f t="shared" si="34"/>
        <v>7460.0704078861181</v>
      </c>
      <c r="P135" s="557">
        <f t="shared" si="34"/>
        <v>7721.1728721621321</v>
      </c>
      <c r="Q135" s="516"/>
    </row>
    <row r="136" spans="2:17" x14ac:dyDescent="0.25">
      <c r="B136" s="517"/>
      <c r="C136" s="551" t="s">
        <v>436</v>
      </c>
      <c r="D136" s="553"/>
      <c r="E136" s="553"/>
      <c r="F136" s="553"/>
      <c r="G136" s="553"/>
      <c r="H136" s="553"/>
      <c r="I136" s="555">
        <f t="shared" si="33"/>
        <v>13486.160185325682</v>
      </c>
      <c r="J136" s="556">
        <f t="shared" si="34"/>
        <v>13958.17579181208</v>
      </c>
      <c r="K136" s="556">
        <f t="shared" si="34"/>
        <v>14446.711944525503</v>
      </c>
      <c r="L136" s="556">
        <f t="shared" si="34"/>
        <v>14952.346862583896</v>
      </c>
      <c r="M136" s="556">
        <f t="shared" si="34"/>
        <v>15475.679002774332</v>
      </c>
      <c r="N136" s="556">
        <f t="shared" si="34"/>
        <v>16017.327767871433</v>
      </c>
      <c r="O136" s="556">
        <f t="shared" si="34"/>
        <v>16577.934239746934</v>
      </c>
      <c r="P136" s="557">
        <f t="shared" si="34"/>
        <v>17158.161938138077</v>
      </c>
      <c r="Q136" s="516"/>
    </row>
    <row r="137" spans="2:17" x14ac:dyDescent="0.25">
      <c r="B137" s="517"/>
      <c r="C137" s="551" t="s">
        <v>437</v>
      </c>
      <c r="D137" s="552"/>
      <c r="E137" s="553"/>
      <c r="F137" s="552"/>
      <c r="G137" s="552"/>
      <c r="H137" s="553"/>
      <c r="I137" s="555">
        <f t="shared" si="33"/>
        <v>5664.1872778367861</v>
      </c>
      <c r="J137" s="556">
        <f t="shared" si="34"/>
        <v>5862.4338325610734</v>
      </c>
      <c r="K137" s="556">
        <f t="shared" si="34"/>
        <v>6067.6190167007107</v>
      </c>
      <c r="L137" s="556">
        <f t="shared" si="34"/>
        <v>6279.9856822852353</v>
      </c>
      <c r="M137" s="556">
        <f t="shared" si="34"/>
        <v>6499.7851811652181</v>
      </c>
      <c r="N137" s="556">
        <f t="shared" si="34"/>
        <v>6727.2776625060005</v>
      </c>
      <c r="O137" s="556">
        <f t="shared" si="34"/>
        <v>6962.7323806937102</v>
      </c>
      <c r="P137" s="557">
        <f t="shared" si="34"/>
        <v>7206.4280140179899</v>
      </c>
      <c r="Q137" s="516"/>
    </row>
    <row r="138" spans="2:17" x14ac:dyDescent="0.25">
      <c r="B138" s="517"/>
      <c r="C138" s="551" t="s">
        <v>438</v>
      </c>
      <c r="D138" s="553"/>
      <c r="E138" s="553"/>
      <c r="F138" s="553"/>
      <c r="G138" s="553"/>
      <c r="H138" s="553"/>
      <c r="I138" s="555">
        <f t="shared" si="33"/>
        <v>3371.5400463314204</v>
      </c>
      <c r="J138" s="556">
        <f t="shared" si="34"/>
        <v>3489.5439479530201</v>
      </c>
      <c r="K138" s="556">
        <f t="shared" si="34"/>
        <v>3611.6779861313757</v>
      </c>
      <c r="L138" s="556">
        <f t="shared" si="34"/>
        <v>3738.086715645974</v>
      </c>
      <c r="M138" s="556">
        <f t="shared" si="34"/>
        <v>3868.919750693583</v>
      </c>
      <c r="N138" s="556">
        <f t="shared" si="34"/>
        <v>4004.3319419678583</v>
      </c>
      <c r="O138" s="556">
        <f t="shared" si="34"/>
        <v>4144.4835599367334</v>
      </c>
      <c r="P138" s="557">
        <f t="shared" si="34"/>
        <v>4289.5404845345192</v>
      </c>
      <c r="Q138" s="516"/>
    </row>
    <row r="139" spans="2:17" x14ac:dyDescent="0.25">
      <c r="B139" s="517"/>
      <c r="C139" s="551" t="s">
        <v>439</v>
      </c>
      <c r="D139" s="553"/>
      <c r="E139" s="553"/>
      <c r="F139" s="553"/>
      <c r="G139" s="553"/>
      <c r="H139" s="553"/>
      <c r="I139" s="555">
        <f t="shared" si="33"/>
        <v>6743.0800926628408</v>
      </c>
      <c r="J139" s="556">
        <f t="shared" si="34"/>
        <v>6979.0878959060401</v>
      </c>
      <c r="K139" s="556">
        <f t="shared" si="34"/>
        <v>7223.3559722627515</v>
      </c>
      <c r="L139" s="556">
        <f t="shared" si="34"/>
        <v>7476.173431291948</v>
      </c>
      <c r="M139" s="556">
        <f t="shared" si="34"/>
        <v>7737.8395013871659</v>
      </c>
      <c r="N139" s="556">
        <f t="shared" si="34"/>
        <v>8008.6638839357165</v>
      </c>
      <c r="O139" s="556">
        <f t="shared" si="34"/>
        <v>8288.9671198734668</v>
      </c>
      <c r="P139" s="557">
        <f t="shared" si="34"/>
        <v>8579.0809690690385</v>
      </c>
      <c r="Q139" s="516"/>
    </row>
    <row r="140" spans="2:17" x14ac:dyDescent="0.25">
      <c r="B140" s="517"/>
      <c r="C140" s="551" t="s">
        <v>440</v>
      </c>
      <c r="D140" s="553"/>
      <c r="E140" s="553"/>
      <c r="F140" s="553"/>
      <c r="G140" s="553"/>
      <c r="H140" s="553"/>
      <c r="I140" s="555">
        <f t="shared" si="33"/>
        <v>3371.5400463314204</v>
      </c>
      <c r="J140" s="556">
        <f t="shared" si="34"/>
        <v>3489.5439479530201</v>
      </c>
      <c r="K140" s="556">
        <f t="shared" si="34"/>
        <v>3611.6779861313757</v>
      </c>
      <c r="L140" s="556">
        <f t="shared" si="34"/>
        <v>3738.086715645974</v>
      </c>
      <c r="M140" s="556">
        <f t="shared" si="34"/>
        <v>3868.919750693583</v>
      </c>
      <c r="N140" s="556">
        <f t="shared" si="34"/>
        <v>4004.3319419678583</v>
      </c>
      <c r="O140" s="556">
        <f t="shared" si="34"/>
        <v>4144.4835599367334</v>
      </c>
      <c r="P140" s="557">
        <f t="shared" si="34"/>
        <v>4289.5404845345192</v>
      </c>
      <c r="Q140" s="516"/>
    </row>
    <row r="141" spans="2:17" x14ac:dyDescent="0.25">
      <c r="B141" s="517"/>
      <c r="C141" s="551" t="s">
        <v>441</v>
      </c>
      <c r="D141" s="553"/>
      <c r="E141" s="553"/>
      <c r="F141" s="553"/>
      <c r="G141" s="553"/>
      <c r="H141" s="553"/>
      <c r="I141" s="555">
        <f t="shared" si="33"/>
        <v>3573.8324491113053</v>
      </c>
      <c r="J141" s="556">
        <f t="shared" si="34"/>
        <v>3698.9165848302009</v>
      </c>
      <c r="K141" s="556">
        <f t="shared" si="34"/>
        <v>3828.378665299258</v>
      </c>
      <c r="L141" s="556">
        <f t="shared" si="34"/>
        <v>3962.3719185847322</v>
      </c>
      <c r="M141" s="556">
        <f t="shared" si="34"/>
        <v>4101.0549357351974</v>
      </c>
      <c r="N141" s="556">
        <f t="shared" si="34"/>
        <v>4244.5918584859292</v>
      </c>
      <c r="O141" s="556">
        <f t="shared" si="34"/>
        <v>4393.1525735329369</v>
      </c>
      <c r="P141" s="557">
        <f t="shared" si="34"/>
        <v>4546.9129136065894</v>
      </c>
      <c r="Q141" s="516"/>
    </row>
    <row r="142" spans="2:17" x14ac:dyDescent="0.25">
      <c r="B142" s="517"/>
      <c r="C142" s="551" t="s">
        <v>442</v>
      </c>
      <c r="D142" s="552"/>
      <c r="E142" s="553"/>
      <c r="F142" s="552"/>
      <c r="G142" s="552"/>
      <c r="H142" s="553"/>
      <c r="I142" s="555">
        <f t="shared" si="33"/>
        <v>44287.684030182194</v>
      </c>
      <c r="J142" s="556">
        <f t="shared" si="34"/>
        <v>46059.191391389482</v>
      </c>
      <c r="K142" s="556">
        <f t="shared" si="34"/>
        <v>47901.559047045062</v>
      </c>
      <c r="L142" s="556">
        <f t="shared" si="34"/>
        <v>49817.621408926861</v>
      </c>
      <c r="M142" s="556">
        <f t="shared" si="34"/>
        <v>51810.326265283933</v>
      </c>
      <c r="N142" s="556">
        <f t="shared" si="34"/>
        <v>53882.739315895291</v>
      </c>
      <c r="O142" s="556">
        <f t="shared" si="34"/>
        <v>56038.048888531106</v>
      </c>
      <c r="P142" s="557">
        <f t="shared" si="34"/>
        <v>58279.570844072354</v>
      </c>
      <c r="Q142" s="516"/>
    </row>
    <row r="143" spans="2:17" x14ac:dyDescent="0.25">
      <c r="B143" s="517"/>
      <c r="C143" s="551" t="s">
        <v>443</v>
      </c>
      <c r="D143" s="552"/>
      <c r="E143" s="553"/>
      <c r="F143" s="552"/>
      <c r="G143" s="552"/>
      <c r="H143" s="553"/>
      <c r="I143" s="555">
        <f t="shared" si="33"/>
        <v>9440.3121297279758</v>
      </c>
      <c r="J143" s="556">
        <f t="shared" ref="J143:P147" si="35">I143+(I143*$F62)</f>
        <v>9770.7230542684556</v>
      </c>
      <c r="K143" s="556">
        <f t="shared" si="35"/>
        <v>10112.698361167852</v>
      </c>
      <c r="L143" s="556">
        <f t="shared" si="35"/>
        <v>10466.642803808727</v>
      </c>
      <c r="M143" s="556">
        <f t="shared" si="35"/>
        <v>10832.975301942033</v>
      </c>
      <c r="N143" s="556">
        <f t="shared" si="35"/>
        <v>11212.129437510004</v>
      </c>
      <c r="O143" s="556">
        <f t="shared" si="35"/>
        <v>11604.553967822854</v>
      </c>
      <c r="P143" s="557">
        <f t="shared" si="35"/>
        <v>12010.713356696655</v>
      </c>
      <c r="Q143" s="516"/>
    </row>
    <row r="144" spans="2:17" x14ac:dyDescent="0.25">
      <c r="B144" s="517"/>
      <c r="C144" s="551" t="s">
        <v>444</v>
      </c>
      <c r="D144" s="552"/>
      <c r="E144" s="553"/>
      <c r="F144" s="552"/>
      <c r="G144" s="552"/>
      <c r="H144" s="553"/>
      <c r="I144" s="555">
        <f t="shared" si="33"/>
        <v>5394.4640741302719</v>
      </c>
      <c r="J144" s="556">
        <f t="shared" si="35"/>
        <v>5583.270316724831</v>
      </c>
      <c r="K144" s="556">
        <f t="shared" si="35"/>
        <v>5778.6847778102001</v>
      </c>
      <c r="L144" s="556">
        <f t="shared" si="35"/>
        <v>5980.9387450335571</v>
      </c>
      <c r="M144" s="556">
        <f t="shared" si="35"/>
        <v>6190.2716011097318</v>
      </c>
      <c r="N144" s="556">
        <f t="shared" si="35"/>
        <v>6406.9311071485727</v>
      </c>
      <c r="O144" s="556">
        <f t="shared" si="35"/>
        <v>6631.1736958987731</v>
      </c>
      <c r="P144" s="557">
        <f t="shared" si="35"/>
        <v>6863.2647752552302</v>
      </c>
      <c r="Q144" s="516"/>
    </row>
    <row r="145" spans="2:17" x14ac:dyDescent="0.25">
      <c r="B145" s="517"/>
      <c r="C145" s="551" t="s">
        <v>445</v>
      </c>
      <c r="D145" s="553"/>
      <c r="E145" s="553"/>
      <c r="F145" s="553"/>
      <c r="G145" s="553"/>
      <c r="H145" s="553"/>
      <c r="I145" s="555">
        <f t="shared" si="33"/>
        <v>8428.8501158285508</v>
      </c>
      <c r="J145" s="556">
        <f t="shared" si="35"/>
        <v>8723.8598698825499</v>
      </c>
      <c r="K145" s="556">
        <f t="shared" si="35"/>
        <v>9029.1949653284391</v>
      </c>
      <c r="L145" s="556">
        <f t="shared" si="35"/>
        <v>9345.2167891149347</v>
      </c>
      <c r="M145" s="556">
        <f t="shared" si="35"/>
        <v>9672.2993767339576</v>
      </c>
      <c r="N145" s="556">
        <f t="shared" si="35"/>
        <v>10010.829854919646</v>
      </c>
      <c r="O145" s="556">
        <f t="shared" si="35"/>
        <v>10361.208899841833</v>
      </c>
      <c r="P145" s="557">
        <f t="shared" si="35"/>
        <v>10723.851211336298</v>
      </c>
      <c r="Q145" s="516"/>
    </row>
    <row r="146" spans="2:17" x14ac:dyDescent="0.25">
      <c r="B146" s="517"/>
      <c r="C146" s="551" t="s">
        <v>446</v>
      </c>
      <c r="D146" s="553"/>
      <c r="E146" s="553"/>
      <c r="F146" s="553"/>
      <c r="G146" s="553"/>
      <c r="H146" s="553"/>
      <c r="I146" s="555">
        <f t="shared" si="33"/>
        <v>2281.1967181404666</v>
      </c>
      <c r="J146" s="556">
        <f t="shared" si="35"/>
        <v>2361.0386032753831</v>
      </c>
      <c r="K146" s="556">
        <f t="shared" si="35"/>
        <v>2443.6749543900214</v>
      </c>
      <c r="L146" s="556">
        <f t="shared" si="35"/>
        <v>2529.2035777936721</v>
      </c>
      <c r="M146" s="556">
        <f t="shared" si="35"/>
        <v>2617.7257030164506</v>
      </c>
      <c r="N146" s="556">
        <f t="shared" si="35"/>
        <v>2709.3461026220261</v>
      </c>
      <c r="O146" s="556">
        <f t="shared" si="35"/>
        <v>2804.1732162137969</v>
      </c>
      <c r="P146" s="557">
        <f t="shared" si="35"/>
        <v>2902.31927878128</v>
      </c>
      <c r="Q146" s="516"/>
    </row>
    <row r="147" spans="2:17" x14ac:dyDescent="0.25">
      <c r="B147" s="517"/>
      <c r="C147" s="560" t="s">
        <v>247</v>
      </c>
      <c r="D147" s="561"/>
      <c r="E147" s="562"/>
      <c r="F147" s="584"/>
      <c r="G147" s="584"/>
      <c r="H147" s="562"/>
      <c r="I147" s="563">
        <f t="shared" si="33"/>
        <v>46601.04483661407</v>
      </c>
      <c r="J147" s="564">
        <f t="shared" si="35"/>
        <v>48232.081405895566</v>
      </c>
      <c r="K147" s="564">
        <f t="shared" si="35"/>
        <v>49920.204255101911</v>
      </c>
      <c r="L147" s="564">
        <f t="shared" si="35"/>
        <v>51667.411404030478</v>
      </c>
      <c r="M147" s="564">
        <f t="shared" si="35"/>
        <v>53475.770803171545</v>
      </c>
      <c r="N147" s="564">
        <f t="shared" si="35"/>
        <v>55347.422781282548</v>
      </c>
      <c r="O147" s="564">
        <f t="shared" si="35"/>
        <v>57284.582578627436</v>
      </c>
      <c r="P147" s="565">
        <f t="shared" si="35"/>
        <v>59289.542968879396</v>
      </c>
      <c r="Q147" s="516"/>
    </row>
    <row r="148" spans="2:17" x14ac:dyDescent="0.25">
      <c r="B148" s="517"/>
      <c r="C148" s="475" t="s">
        <v>447</v>
      </c>
      <c r="D148" s="532"/>
      <c r="E148" s="515"/>
      <c r="F148" s="533"/>
      <c r="G148" s="533"/>
      <c r="H148" s="515"/>
      <c r="I148" s="469">
        <f>SUM(I127:I147)</f>
        <v>315899.14613880008</v>
      </c>
      <c r="J148" s="470">
        <f t="shared" ref="J148:O148" si="36">SUM(J127:J147)</f>
        <v>326756.96124160517</v>
      </c>
      <c r="K148" s="470">
        <f t="shared" si="36"/>
        <v>337993.15507400938</v>
      </c>
      <c r="L148" s="470">
        <f t="shared" si="36"/>
        <v>349621.0626346257</v>
      </c>
      <c r="M148" s="470">
        <f t="shared" si="36"/>
        <v>361654.49325511779</v>
      </c>
      <c r="N148" s="470">
        <f t="shared" si="36"/>
        <v>374107.74760463985</v>
      </c>
      <c r="O148" s="470">
        <f t="shared" si="36"/>
        <v>386995.6353080048</v>
      </c>
      <c r="P148" s="507">
        <f>SUM(P127:P147)</f>
        <v>400333.49319986632</v>
      </c>
      <c r="Q148" s="516"/>
    </row>
    <row r="149" spans="2:17" ht="7.5" customHeight="1" x14ac:dyDescent="0.25">
      <c r="B149" s="517"/>
      <c r="C149" s="475"/>
      <c r="D149" s="532"/>
      <c r="E149" s="515"/>
      <c r="F149" s="533"/>
      <c r="G149" s="533"/>
      <c r="H149" s="515"/>
      <c r="I149" s="472"/>
      <c r="J149" s="473"/>
      <c r="K149" s="473"/>
      <c r="L149" s="473"/>
      <c r="M149" s="473"/>
      <c r="N149" s="473"/>
      <c r="O149" s="473"/>
      <c r="P149" s="474"/>
      <c r="Q149" s="516"/>
    </row>
    <row r="150" spans="2:17" x14ac:dyDescent="0.25">
      <c r="B150" s="517"/>
      <c r="C150" s="585" t="s">
        <v>448</v>
      </c>
      <c r="D150" s="532"/>
      <c r="E150" s="515"/>
      <c r="F150" s="532"/>
      <c r="G150" s="532"/>
      <c r="H150" s="515"/>
      <c r="I150" s="555">
        <f>P69+($F69*P69)</f>
        <v>23600.780324319945</v>
      </c>
      <c r="J150" s="556">
        <f t="shared" ref="J150:P151" si="37">I150+(I150*$F69)</f>
        <v>24426.807635671143</v>
      </c>
      <c r="K150" s="556">
        <f t="shared" si="37"/>
        <v>25281.745902919632</v>
      </c>
      <c r="L150" s="556">
        <f t="shared" si="37"/>
        <v>26166.60700952182</v>
      </c>
      <c r="M150" s="556">
        <f t="shared" si="37"/>
        <v>27082.438254855086</v>
      </c>
      <c r="N150" s="556">
        <f t="shared" si="37"/>
        <v>28030.323593775014</v>
      </c>
      <c r="O150" s="556">
        <f t="shared" si="37"/>
        <v>29011.384919557138</v>
      </c>
      <c r="P150" s="557">
        <f t="shared" si="37"/>
        <v>30026.783391741639</v>
      </c>
      <c r="Q150" s="516"/>
    </row>
    <row r="151" spans="2:17" x14ac:dyDescent="0.25">
      <c r="B151" s="517"/>
      <c r="C151" s="569" t="s">
        <v>449</v>
      </c>
      <c r="D151" s="561"/>
      <c r="E151" s="562"/>
      <c r="F151" s="561"/>
      <c r="G151" s="561"/>
      <c r="H151" s="562"/>
      <c r="I151" s="563">
        <f>P70+($F70*P70)</f>
        <v>0</v>
      </c>
      <c r="J151" s="564">
        <f t="shared" si="37"/>
        <v>0</v>
      </c>
      <c r="K151" s="564">
        <f t="shared" si="37"/>
        <v>0</v>
      </c>
      <c r="L151" s="564">
        <f t="shared" si="37"/>
        <v>0</v>
      </c>
      <c r="M151" s="564">
        <f t="shared" si="37"/>
        <v>0</v>
      </c>
      <c r="N151" s="564">
        <f t="shared" si="37"/>
        <v>0</v>
      </c>
      <c r="O151" s="564">
        <f t="shared" si="37"/>
        <v>0</v>
      </c>
      <c r="P151" s="565">
        <f t="shared" si="37"/>
        <v>0</v>
      </c>
      <c r="Q151" s="516"/>
    </row>
    <row r="152" spans="2:17" x14ac:dyDescent="0.25">
      <c r="B152" s="517"/>
      <c r="C152" s="475" t="s">
        <v>450</v>
      </c>
      <c r="D152" s="532"/>
      <c r="E152" s="532"/>
      <c r="F152" s="532"/>
      <c r="G152" s="532"/>
      <c r="H152" s="515"/>
      <c r="I152" s="469">
        <f>SUM(I150:I151)</f>
        <v>23600.780324319945</v>
      </c>
      <c r="J152" s="470">
        <f t="shared" ref="J152:P152" si="38">SUM(J150:J151)</f>
        <v>24426.807635671143</v>
      </c>
      <c r="K152" s="470">
        <f t="shared" si="38"/>
        <v>25281.745902919632</v>
      </c>
      <c r="L152" s="470">
        <f t="shared" si="38"/>
        <v>26166.60700952182</v>
      </c>
      <c r="M152" s="470">
        <f t="shared" si="38"/>
        <v>27082.438254855086</v>
      </c>
      <c r="N152" s="470">
        <f t="shared" si="38"/>
        <v>28030.323593775014</v>
      </c>
      <c r="O152" s="470">
        <f t="shared" si="38"/>
        <v>29011.384919557138</v>
      </c>
      <c r="P152" s="471">
        <f t="shared" si="38"/>
        <v>30026.783391741639</v>
      </c>
      <c r="Q152" s="516"/>
    </row>
    <row r="153" spans="2:17" ht="7.5" customHeight="1" x14ac:dyDescent="0.25">
      <c r="B153" s="517"/>
      <c r="C153" s="475"/>
      <c r="D153" s="532"/>
      <c r="E153" s="532"/>
      <c r="F153" s="532"/>
      <c r="G153" s="532"/>
      <c r="H153" s="515"/>
      <c r="I153" s="472"/>
      <c r="J153" s="473"/>
      <c r="K153" s="473"/>
      <c r="L153" s="473"/>
      <c r="M153" s="473"/>
      <c r="N153" s="473"/>
      <c r="O153" s="473"/>
      <c r="P153" s="474"/>
      <c r="Q153" s="516"/>
    </row>
    <row r="154" spans="2:17" x14ac:dyDescent="0.25">
      <c r="B154" s="517"/>
      <c r="C154" s="475" t="s">
        <v>451</v>
      </c>
      <c r="D154" s="532"/>
      <c r="E154" s="339"/>
      <c r="F154" s="532"/>
      <c r="G154" s="532"/>
      <c r="H154" s="515"/>
      <c r="I154" s="586">
        <f>P73+($F73*P73)</f>
        <v>271535.10031512094</v>
      </c>
      <c r="J154" s="587">
        <f t="shared" ref="J154:P154" si="39">I154+(I154*$F73)</f>
        <v>278323.47782299895</v>
      </c>
      <c r="K154" s="587">
        <f t="shared" si="39"/>
        <v>285281.56476857391</v>
      </c>
      <c r="L154" s="587">
        <f t="shared" si="39"/>
        <v>292413.60388778825</v>
      </c>
      <c r="M154" s="587">
        <f t="shared" si="39"/>
        <v>299723.94398498297</v>
      </c>
      <c r="N154" s="587">
        <f t="shared" si="39"/>
        <v>307217.04258460755</v>
      </c>
      <c r="O154" s="587">
        <f t="shared" si="39"/>
        <v>314897.46864922275</v>
      </c>
      <c r="P154" s="588">
        <f t="shared" si="39"/>
        <v>322769.90536545333</v>
      </c>
      <c r="Q154" s="516"/>
    </row>
    <row r="155" spans="2:17" ht="7.5" customHeight="1" x14ac:dyDescent="0.25">
      <c r="B155" s="517"/>
      <c r="C155" s="475"/>
      <c r="D155" s="532"/>
      <c r="E155" s="339"/>
      <c r="F155" s="532"/>
      <c r="G155" s="532"/>
      <c r="H155" s="515"/>
      <c r="I155" s="472"/>
      <c r="J155" s="473"/>
      <c r="K155" s="473"/>
      <c r="L155" s="473"/>
      <c r="M155" s="473"/>
      <c r="N155" s="473"/>
      <c r="O155" s="473"/>
      <c r="P155" s="474"/>
      <c r="Q155" s="516"/>
    </row>
    <row r="156" spans="2:17" ht="15.75" thickBot="1" x14ac:dyDescent="0.3">
      <c r="B156" s="517"/>
      <c r="C156" s="573" t="s">
        <v>452</v>
      </c>
      <c r="D156" s="535"/>
      <c r="E156" s="535"/>
      <c r="F156" s="535"/>
      <c r="G156" s="535"/>
      <c r="H156" s="535"/>
      <c r="I156" s="1675">
        <f>P75+($F75*P75)</f>
        <v>0</v>
      </c>
      <c r="J156" s="1676">
        <f t="shared" ref="J156:P156" si="40">I156+(I156*$F75)</f>
        <v>0</v>
      </c>
      <c r="K156" s="1676">
        <f t="shared" si="40"/>
        <v>0</v>
      </c>
      <c r="L156" s="1676">
        <f t="shared" si="40"/>
        <v>0</v>
      </c>
      <c r="M156" s="1676">
        <f t="shared" si="40"/>
        <v>0</v>
      </c>
      <c r="N156" s="1676">
        <f t="shared" si="40"/>
        <v>0</v>
      </c>
      <c r="O156" s="1676">
        <f t="shared" si="40"/>
        <v>0</v>
      </c>
      <c r="P156" s="1677">
        <f t="shared" si="40"/>
        <v>0</v>
      </c>
      <c r="Q156" s="516"/>
    </row>
    <row r="157" spans="2:17" ht="16.5" thickTop="1" thickBot="1" x14ac:dyDescent="0.3">
      <c r="B157" s="517"/>
      <c r="C157" s="540" t="s">
        <v>453</v>
      </c>
      <c r="D157" s="532"/>
      <c r="E157" s="515"/>
      <c r="F157" s="532"/>
      <c r="G157" s="532"/>
      <c r="H157" s="575"/>
      <c r="I157" s="476">
        <f>I148+I152+I154+I156</f>
        <v>611035.02677824092</v>
      </c>
      <c r="J157" s="477">
        <f t="shared" ref="J157:P157" si="41">J148+J152+J154+J156</f>
        <v>629507.24670027522</v>
      </c>
      <c r="K157" s="477">
        <f t="shared" si="41"/>
        <v>648556.46574550285</v>
      </c>
      <c r="L157" s="477">
        <f t="shared" si="41"/>
        <v>668201.27353193576</v>
      </c>
      <c r="M157" s="477">
        <f t="shared" si="41"/>
        <v>688460.87549495581</v>
      </c>
      <c r="N157" s="477">
        <f t="shared" si="41"/>
        <v>709355.11378302239</v>
      </c>
      <c r="O157" s="477">
        <f t="shared" si="41"/>
        <v>730904.48887678469</v>
      </c>
      <c r="P157" s="478">
        <f t="shared" si="41"/>
        <v>753130.18195706129</v>
      </c>
      <c r="Q157" s="516"/>
    </row>
    <row r="158" spans="2:17" ht="7.5" customHeight="1" thickBot="1" x14ac:dyDescent="0.3">
      <c r="B158" s="517"/>
      <c r="C158" s="532"/>
      <c r="D158" s="532"/>
      <c r="E158" s="532"/>
      <c r="F158" s="532"/>
      <c r="G158" s="532"/>
      <c r="H158" s="532"/>
      <c r="I158" s="576"/>
      <c r="J158" s="576"/>
      <c r="K158" s="576"/>
      <c r="L158" s="576"/>
      <c r="M158" s="576"/>
      <c r="N158" s="576"/>
      <c r="O158" s="576"/>
      <c r="P158" s="576"/>
      <c r="Q158" s="516"/>
    </row>
    <row r="159" spans="2:17" ht="15.75" thickBot="1" x14ac:dyDescent="0.3">
      <c r="B159" s="517"/>
      <c r="C159" s="540" t="s">
        <v>454</v>
      </c>
      <c r="D159" s="532"/>
      <c r="E159" s="532"/>
      <c r="F159" s="532"/>
      <c r="G159" s="532"/>
      <c r="H159" s="532"/>
      <c r="I159" s="479">
        <f>I123-I157</f>
        <v>89123.467161656008</v>
      </c>
      <c r="J159" s="480">
        <f>J123-J157</f>
        <v>88155.209588119178</v>
      </c>
      <c r="K159" s="480">
        <f t="shared" ref="K159:P159" si="42">K123-K157</f>
        <v>87047.551950101275</v>
      </c>
      <c r="L159" s="480">
        <f t="shared" si="42"/>
        <v>85792.844606058439</v>
      </c>
      <c r="M159" s="480">
        <f t="shared" si="42"/>
        <v>84383.095596488216</v>
      </c>
      <c r="N159" s="480">
        <f t="shared" si="42"/>
        <v>82809.956585707609</v>
      </c>
      <c r="O159" s="480">
        <f t="shared" si="42"/>
        <v>81064.708251163713</v>
      </c>
      <c r="P159" s="481">
        <f t="shared" si="42"/>
        <v>79138.245099085732</v>
      </c>
      <c r="Q159" s="516"/>
    </row>
    <row r="160" spans="2:17" x14ac:dyDescent="0.25">
      <c r="B160" s="394"/>
      <c r="C160" s="942"/>
      <c r="D160" s="942"/>
      <c r="E160" s="942"/>
      <c r="F160" s="942"/>
      <c r="G160" s="942"/>
      <c r="H160" s="942"/>
      <c r="I160" s="942"/>
      <c r="J160" s="942"/>
      <c r="K160" s="942"/>
      <c r="L160" s="942"/>
      <c r="M160" s="942"/>
      <c r="N160" s="942"/>
      <c r="O160" s="942"/>
      <c r="P160" s="942"/>
      <c r="Q160" s="944"/>
    </row>
    <row r="161" spans="2:17" ht="15.75" thickBot="1" x14ac:dyDescent="0.3">
      <c r="B161" s="394"/>
      <c r="C161" s="2473" t="s">
        <v>455</v>
      </c>
      <c r="D161" s="2473"/>
      <c r="E161" s="2473"/>
      <c r="F161" s="482"/>
      <c r="G161" s="482"/>
      <c r="H161" s="482"/>
      <c r="I161" s="482"/>
      <c r="J161" s="482"/>
      <c r="K161" s="482"/>
      <c r="L161" s="482"/>
      <c r="M161" s="1351"/>
      <c r="N161" s="1351"/>
      <c r="O161" s="1351"/>
      <c r="P161" s="1351"/>
      <c r="Q161" s="944"/>
    </row>
    <row r="162" spans="2:17" ht="15.75" thickBot="1" x14ac:dyDescent="0.3">
      <c r="B162" s="394"/>
      <c r="C162" s="589" t="s">
        <v>456</v>
      </c>
      <c r="D162" s="524"/>
      <c r="E162" s="1208"/>
      <c r="F162" s="1208"/>
      <c r="G162" s="1208"/>
      <c r="H162" s="1208"/>
      <c r="I162" s="446" t="s">
        <v>468</v>
      </c>
      <c r="J162" s="508" t="s">
        <v>469</v>
      </c>
      <c r="K162" s="509" t="s">
        <v>470</v>
      </c>
      <c r="L162" s="509" t="s">
        <v>471</v>
      </c>
      <c r="M162" s="509" t="s">
        <v>472</v>
      </c>
      <c r="N162" s="509" t="s">
        <v>473</v>
      </c>
      <c r="O162" s="509" t="s">
        <v>474</v>
      </c>
      <c r="P162" s="510" t="s">
        <v>475</v>
      </c>
      <c r="Q162" s="944"/>
    </row>
    <row r="163" spans="2:17" x14ac:dyDescent="0.25">
      <c r="B163" s="394"/>
      <c r="C163" s="2513" t="str">
        <f>IF(C82="Lender 1","",C82)</f>
        <v>Lender 1 - Permanent Loan</v>
      </c>
      <c r="D163" s="2502"/>
      <c r="E163" s="2502"/>
      <c r="F163" s="2502"/>
      <c r="G163" s="2502"/>
      <c r="H163" s="2503"/>
      <c r="I163" s="1678">
        <f>P82</f>
        <v>68005</v>
      </c>
      <c r="J163" s="1699">
        <f>I163</f>
        <v>68005</v>
      </c>
      <c r="K163" s="1699">
        <f t="shared" ref="K163:P163" si="43">J163</f>
        <v>68005</v>
      </c>
      <c r="L163" s="1699">
        <f t="shared" si="43"/>
        <v>68005</v>
      </c>
      <c r="M163" s="1699">
        <f t="shared" si="43"/>
        <v>68005</v>
      </c>
      <c r="N163" s="1699">
        <f t="shared" si="43"/>
        <v>68005</v>
      </c>
      <c r="O163" s="1699">
        <f t="shared" si="43"/>
        <v>68005</v>
      </c>
      <c r="P163" s="1700">
        <f t="shared" si="43"/>
        <v>68005</v>
      </c>
      <c r="Q163" s="944"/>
    </row>
    <row r="164" spans="2:17" x14ac:dyDescent="0.25">
      <c r="B164" s="394"/>
      <c r="C164" s="2498">
        <f>IF(C83="Lender 2","",C83)</f>
        <v>0</v>
      </c>
      <c r="D164" s="2499"/>
      <c r="E164" s="2499"/>
      <c r="F164" s="2499"/>
      <c r="G164" s="2499"/>
      <c r="H164" s="2500"/>
      <c r="I164" s="1681">
        <v>0</v>
      </c>
      <c r="J164" s="1701">
        <v>0</v>
      </c>
      <c r="K164" s="1701">
        <v>0</v>
      </c>
      <c r="L164" s="1701">
        <v>0</v>
      </c>
      <c r="M164" s="1701">
        <v>0</v>
      </c>
      <c r="N164" s="1701">
        <v>0</v>
      </c>
      <c r="O164" s="1701">
        <v>0</v>
      </c>
      <c r="P164" s="1702">
        <v>0</v>
      </c>
      <c r="Q164" s="944"/>
    </row>
    <row r="165" spans="2:17" ht="15.75" thickBot="1" x14ac:dyDescent="0.3">
      <c r="B165" s="394"/>
      <c r="C165" s="2495" t="s">
        <v>460</v>
      </c>
      <c r="D165" s="2511"/>
      <c r="E165" s="2511"/>
      <c r="F165" s="2511"/>
      <c r="G165" s="2511"/>
      <c r="H165" s="2512"/>
      <c r="I165" s="1684">
        <v>0</v>
      </c>
      <c r="J165" s="1703">
        <v>0</v>
      </c>
      <c r="K165" s="1703">
        <v>0</v>
      </c>
      <c r="L165" s="1703">
        <v>0</v>
      </c>
      <c r="M165" s="1703">
        <v>0</v>
      </c>
      <c r="N165" s="1703">
        <v>0</v>
      </c>
      <c r="O165" s="1703">
        <v>0</v>
      </c>
      <c r="P165" s="1704">
        <v>0</v>
      </c>
      <c r="Q165" s="944"/>
    </row>
    <row r="166" spans="2:17" ht="15.75" thickTop="1" x14ac:dyDescent="0.25">
      <c r="B166" s="394"/>
      <c r="C166" s="1208"/>
      <c r="D166" s="1208"/>
      <c r="E166" s="1352"/>
      <c r="F166" s="1353"/>
      <c r="G166" s="1353"/>
      <c r="H166" s="1354" t="s">
        <v>461</v>
      </c>
      <c r="I166" s="483">
        <f>SUM(I163:I165)</f>
        <v>68005</v>
      </c>
      <c r="J166" s="484">
        <f t="shared" ref="J166:P166" si="44">SUM(J163:J165)</f>
        <v>68005</v>
      </c>
      <c r="K166" s="484">
        <f t="shared" si="44"/>
        <v>68005</v>
      </c>
      <c r="L166" s="484">
        <f t="shared" si="44"/>
        <v>68005</v>
      </c>
      <c r="M166" s="484">
        <f t="shared" si="44"/>
        <v>68005</v>
      </c>
      <c r="N166" s="484">
        <f t="shared" si="44"/>
        <v>68005</v>
      </c>
      <c r="O166" s="484">
        <f t="shared" si="44"/>
        <v>68005</v>
      </c>
      <c r="P166" s="485">
        <f t="shared" si="44"/>
        <v>68005</v>
      </c>
      <c r="Q166" s="944"/>
    </row>
    <row r="167" spans="2:17" x14ac:dyDescent="0.25">
      <c r="B167" s="394"/>
      <c r="C167" s="1208"/>
      <c r="D167" s="1208"/>
      <c r="E167" s="1208"/>
      <c r="F167" s="1804"/>
      <c r="G167" s="1804"/>
      <c r="H167" s="1804" t="s">
        <v>462</v>
      </c>
      <c r="I167" s="2071">
        <f>IFERROR(I159/I166,"$0 ")</f>
        <v>1.3105428595199766</v>
      </c>
      <c r="J167" s="2072">
        <f t="shared" ref="J167:O167" si="45">IFERROR(J159/J166,"$0 ")</f>
        <v>1.2963048244705415</v>
      </c>
      <c r="K167" s="2072">
        <f t="shared" si="45"/>
        <v>1.2800169391971365</v>
      </c>
      <c r="L167" s="2072">
        <f t="shared" si="45"/>
        <v>1.2615667172422387</v>
      </c>
      <c r="M167" s="2072">
        <f t="shared" si="45"/>
        <v>1.2408366384308245</v>
      </c>
      <c r="N167" s="2072">
        <f t="shared" si="45"/>
        <v>1.2177039421470128</v>
      </c>
      <c r="O167" s="2072">
        <f t="shared" si="45"/>
        <v>1.1920404124867836</v>
      </c>
      <c r="P167" s="2076">
        <f>IFERROR(P159/P166,"$0 ")</f>
        <v>1.1637121549751597</v>
      </c>
      <c r="Q167" s="944"/>
    </row>
    <row r="168" spans="2:17" ht="15.75" thickBot="1" x14ac:dyDescent="0.3">
      <c r="B168" s="394"/>
      <c r="C168" s="1208"/>
      <c r="D168" s="1208"/>
      <c r="E168" s="2491" t="s">
        <v>463</v>
      </c>
      <c r="F168" s="2491"/>
      <c r="G168" s="2491"/>
      <c r="H168" s="2492"/>
      <c r="I168" s="486">
        <f>I159-I166</f>
        <v>21118.467161656008</v>
      </c>
      <c r="J168" s="487">
        <f t="shared" ref="J168:P168" si="46">J159-J166</f>
        <v>20150.209588119178</v>
      </c>
      <c r="K168" s="487">
        <f t="shared" si="46"/>
        <v>19042.551950101275</v>
      </c>
      <c r="L168" s="487">
        <f t="shared" si="46"/>
        <v>17787.844606058439</v>
      </c>
      <c r="M168" s="487">
        <f t="shared" si="46"/>
        <v>16378.095596488216</v>
      </c>
      <c r="N168" s="487">
        <f t="shared" si="46"/>
        <v>14804.956585707609</v>
      </c>
      <c r="O168" s="487">
        <f t="shared" si="46"/>
        <v>13059.708251163713</v>
      </c>
      <c r="P168" s="488">
        <f t="shared" si="46"/>
        <v>11133.245099085732</v>
      </c>
      <c r="Q168" s="944"/>
    </row>
    <row r="169" spans="2:17" ht="15.75" thickBot="1" x14ac:dyDescent="0.3">
      <c r="B169" s="394"/>
      <c r="C169" s="1208"/>
      <c r="D169" s="1208"/>
      <c r="E169" s="1208"/>
      <c r="F169" s="1208"/>
      <c r="G169" s="1208"/>
      <c r="H169" s="1208"/>
      <c r="I169" s="1208"/>
      <c r="J169" s="1208"/>
      <c r="K169" s="1208"/>
      <c r="L169" s="1208"/>
      <c r="M169" s="1208"/>
      <c r="N169" s="1208"/>
      <c r="O169" s="1208"/>
      <c r="P169" s="1208"/>
      <c r="Q169" s="944"/>
    </row>
    <row r="170" spans="2:17" ht="15.75" thickBot="1" x14ac:dyDescent="0.3">
      <c r="B170" s="394"/>
      <c r="C170" s="589" t="s">
        <v>464</v>
      </c>
      <c r="D170" s="1208"/>
      <c r="E170" s="1208"/>
      <c r="F170" s="1208"/>
      <c r="G170" s="1208"/>
      <c r="H170" s="1208"/>
      <c r="I170" s="446" t="s">
        <v>468</v>
      </c>
      <c r="J170" s="508" t="s">
        <v>469</v>
      </c>
      <c r="K170" s="509" t="s">
        <v>470</v>
      </c>
      <c r="L170" s="509" t="s">
        <v>471</v>
      </c>
      <c r="M170" s="509" t="s">
        <v>472</v>
      </c>
      <c r="N170" s="509" t="s">
        <v>473</v>
      </c>
      <c r="O170" s="509" t="s">
        <v>474</v>
      </c>
      <c r="P170" s="510" t="s">
        <v>475</v>
      </c>
      <c r="Q170" s="944"/>
    </row>
    <row r="171" spans="2:17" x14ac:dyDescent="0.25">
      <c r="B171" s="394"/>
      <c r="C171" s="2514" t="str">
        <f>IF(C90="Lender 4","",C90)</f>
        <v>Lender 2 - King County</v>
      </c>
      <c r="D171" s="2515"/>
      <c r="E171" s="2515"/>
      <c r="F171" s="2515"/>
      <c r="G171" s="2515"/>
      <c r="H171" s="2516"/>
      <c r="I171" s="1705">
        <v>0</v>
      </c>
      <c r="J171" s="1706">
        <v>0</v>
      </c>
      <c r="K171" s="1706">
        <v>0</v>
      </c>
      <c r="L171" s="1706">
        <v>0</v>
      </c>
      <c r="M171" s="1706">
        <v>0</v>
      </c>
      <c r="N171" s="1706">
        <v>0</v>
      </c>
      <c r="O171" s="1706">
        <v>0</v>
      </c>
      <c r="P171" s="1707">
        <v>0</v>
      </c>
      <c r="Q171" s="944"/>
    </row>
    <row r="172" spans="2:17" x14ac:dyDescent="0.25">
      <c r="B172" s="394"/>
      <c r="C172" s="2508" t="str">
        <f>IF(C91="Lender 5","",C91)</f>
        <v>Lender 3 - State Housing Trust Fund</v>
      </c>
      <c r="D172" s="2509"/>
      <c r="E172" s="2509"/>
      <c r="F172" s="2509"/>
      <c r="G172" s="2509"/>
      <c r="H172" s="2510"/>
      <c r="I172" s="1708">
        <v>0</v>
      </c>
      <c r="J172" s="1709">
        <v>0</v>
      </c>
      <c r="K172" s="1709">
        <v>0</v>
      </c>
      <c r="L172" s="1709">
        <v>0</v>
      </c>
      <c r="M172" s="1709">
        <v>0</v>
      </c>
      <c r="N172" s="1709">
        <v>0</v>
      </c>
      <c r="O172" s="1709">
        <v>0</v>
      </c>
      <c r="P172" s="1710">
        <v>0</v>
      </c>
      <c r="Q172" s="944"/>
    </row>
    <row r="173" spans="2:17" x14ac:dyDescent="0.25">
      <c r="B173" s="394"/>
      <c r="C173" s="2508" t="str">
        <f>IF(C92="Lender 6","",C92)</f>
        <v>Lender 4 - Office of Housing</v>
      </c>
      <c r="D173" s="2509"/>
      <c r="E173" s="2509"/>
      <c r="F173" s="2509"/>
      <c r="G173" s="2509"/>
      <c r="H173" s="2510"/>
      <c r="I173" s="1708">
        <v>0</v>
      </c>
      <c r="J173" s="1709">
        <v>0</v>
      </c>
      <c r="K173" s="1709">
        <v>0</v>
      </c>
      <c r="L173" s="1709">
        <v>0</v>
      </c>
      <c r="M173" s="1709">
        <v>0</v>
      </c>
      <c r="N173" s="1709">
        <v>0</v>
      </c>
      <c r="O173" s="1709">
        <v>0</v>
      </c>
      <c r="P173" s="1710">
        <v>0</v>
      </c>
      <c r="Q173" s="944"/>
    </row>
    <row r="174" spans="2:17" ht="15.75" thickBot="1" x14ac:dyDescent="0.3">
      <c r="B174" s="394"/>
      <c r="C174" s="2495" t="s">
        <v>460</v>
      </c>
      <c r="D174" s="2511"/>
      <c r="E174" s="2511"/>
      <c r="F174" s="2511"/>
      <c r="G174" s="2511"/>
      <c r="H174" s="2512"/>
      <c r="I174" s="1711">
        <v>0</v>
      </c>
      <c r="J174" s="1712">
        <v>0</v>
      </c>
      <c r="K174" s="1712">
        <v>0</v>
      </c>
      <c r="L174" s="1712">
        <v>0</v>
      </c>
      <c r="M174" s="1712">
        <v>0</v>
      </c>
      <c r="N174" s="1712">
        <v>0</v>
      </c>
      <c r="O174" s="1712">
        <v>0</v>
      </c>
      <c r="P174" s="1713">
        <v>0</v>
      </c>
      <c r="Q174" s="944"/>
    </row>
    <row r="175" spans="2:17" ht="16.5" thickTop="1" thickBot="1" x14ac:dyDescent="0.3">
      <c r="B175" s="394"/>
      <c r="C175" s="1366"/>
      <c r="D175" s="590"/>
      <c r="E175" s="2491" t="s">
        <v>465</v>
      </c>
      <c r="F175" s="2504"/>
      <c r="G175" s="2504"/>
      <c r="H175" s="2505"/>
      <c r="I175" s="489">
        <f>SUM(I171:I174)</f>
        <v>0</v>
      </c>
      <c r="J175" s="490">
        <f t="shared" ref="J175:P175" si="47">SUM(J171:J174)</f>
        <v>0</v>
      </c>
      <c r="K175" s="490">
        <f t="shared" si="47"/>
        <v>0</v>
      </c>
      <c r="L175" s="490">
        <f t="shared" si="47"/>
        <v>0</v>
      </c>
      <c r="M175" s="490">
        <f t="shared" si="47"/>
        <v>0</v>
      </c>
      <c r="N175" s="490">
        <f t="shared" si="47"/>
        <v>0</v>
      </c>
      <c r="O175" s="490">
        <f t="shared" si="47"/>
        <v>0</v>
      </c>
      <c r="P175" s="491">
        <f t="shared" si="47"/>
        <v>0</v>
      </c>
      <c r="Q175" s="944"/>
    </row>
    <row r="176" spans="2:17" ht="7.5" customHeight="1" thickBot="1" x14ac:dyDescent="0.3">
      <c r="B176" s="394"/>
      <c r="C176" s="942"/>
      <c r="D176" s="1804"/>
      <c r="E176" s="1208"/>
      <c r="F176" s="1208"/>
      <c r="G176" s="1208"/>
      <c r="H176" s="1208"/>
      <c r="I176" s="1208"/>
      <c r="J176" s="1208"/>
      <c r="K176" s="1208"/>
      <c r="L176" s="1208"/>
      <c r="M176" s="1208"/>
      <c r="N176" s="1208"/>
      <c r="O176" s="1208"/>
      <c r="P176" s="1208"/>
      <c r="Q176" s="944"/>
    </row>
    <row r="177" spans="2:17" x14ac:dyDescent="0.25">
      <c r="B177" s="394"/>
      <c r="C177" s="942"/>
      <c r="D177" s="1804"/>
      <c r="E177" s="2491" t="s">
        <v>466</v>
      </c>
      <c r="F177" s="2491"/>
      <c r="G177" s="2491"/>
      <c r="H177" s="2492"/>
      <c r="I177" s="733">
        <f>IFERROR(I159/(I166+I175),"$0 ")</f>
        <v>1.3105428595199766</v>
      </c>
      <c r="J177" s="734">
        <f t="shared" ref="J177:P177" si="48">IFERROR(J159/(J166+J175),"$0 ")</f>
        <v>1.2963048244705415</v>
      </c>
      <c r="K177" s="734">
        <f t="shared" si="48"/>
        <v>1.2800169391971365</v>
      </c>
      <c r="L177" s="734">
        <f t="shared" si="48"/>
        <v>1.2615667172422387</v>
      </c>
      <c r="M177" s="734">
        <f t="shared" si="48"/>
        <v>1.2408366384308245</v>
      </c>
      <c r="N177" s="734">
        <f t="shared" si="48"/>
        <v>1.2177039421470128</v>
      </c>
      <c r="O177" s="734">
        <f t="shared" si="48"/>
        <v>1.1920404124867836</v>
      </c>
      <c r="P177" s="735">
        <f t="shared" si="48"/>
        <v>1.1637121549751597</v>
      </c>
      <c r="Q177" s="944"/>
    </row>
    <row r="178" spans="2:17" ht="15.75" thickBot="1" x14ac:dyDescent="0.3">
      <c r="B178" s="394"/>
      <c r="C178" s="811"/>
      <c r="D178" s="1804"/>
      <c r="E178" s="2491" t="s">
        <v>467</v>
      </c>
      <c r="F178" s="2493"/>
      <c r="G178" s="2493"/>
      <c r="H178" s="2494"/>
      <c r="I178" s="1356">
        <f>I168-I175</f>
        <v>21118.467161656008</v>
      </c>
      <c r="J178" s="1358">
        <f t="shared" ref="J178:O178" si="49">J168-J175</f>
        <v>20150.209588119178</v>
      </c>
      <c r="K178" s="1358">
        <f t="shared" si="49"/>
        <v>19042.551950101275</v>
      </c>
      <c r="L178" s="1358">
        <f t="shared" si="49"/>
        <v>17787.844606058439</v>
      </c>
      <c r="M178" s="1358">
        <f t="shared" si="49"/>
        <v>16378.095596488216</v>
      </c>
      <c r="N178" s="1358">
        <f t="shared" si="49"/>
        <v>14804.956585707609</v>
      </c>
      <c r="O178" s="1358">
        <f t="shared" si="49"/>
        <v>13059.708251163713</v>
      </c>
      <c r="P178" s="1359">
        <f>P168-P175</f>
        <v>11133.245099085732</v>
      </c>
      <c r="Q178" s="944"/>
    </row>
    <row r="179" spans="2:17" ht="9" customHeight="1" thickBot="1" x14ac:dyDescent="0.3">
      <c r="B179" s="1367"/>
      <c r="C179" s="698"/>
      <c r="D179" s="698"/>
      <c r="E179" s="698"/>
      <c r="F179" s="698"/>
      <c r="G179" s="698"/>
      <c r="H179" s="698"/>
      <c r="I179" s="698"/>
      <c r="J179" s="698"/>
      <c r="K179" s="698"/>
      <c r="L179" s="698"/>
      <c r="M179" s="698"/>
      <c r="N179" s="698"/>
      <c r="O179" s="698"/>
      <c r="P179" s="698"/>
      <c r="Q179" s="1368"/>
    </row>
  </sheetData>
  <sheetProtection password="9F6B" sheet="1" objects="1" scenarios="1" formatCells="0" formatColumns="0" formatRows="0"/>
  <mergeCells count="38">
    <mergeCell ref="H89:I89"/>
    <mergeCell ref="D31:F31"/>
    <mergeCell ref="D32:F32"/>
    <mergeCell ref="C80:E80"/>
    <mergeCell ref="H81:I81"/>
    <mergeCell ref="C82:G82"/>
    <mergeCell ref="H82:I82"/>
    <mergeCell ref="C83:G83"/>
    <mergeCell ref="H83:I83"/>
    <mergeCell ref="C84:G84"/>
    <mergeCell ref="H84:I84"/>
    <mergeCell ref="F87:I87"/>
    <mergeCell ref="C90:G90"/>
    <mergeCell ref="H90:I90"/>
    <mergeCell ref="C91:G91"/>
    <mergeCell ref="H91:I91"/>
    <mergeCell ref="C92:G92"/>
    <mergeCell ref="H92:I92"/>
    <mergeCell ref="C165:H165"/>
    <mergeCell ref="C93:G93"/>
    <mergeCell ref="H93:I93"/>
    <mergeCell ref="F94:I94"/>
    <mergeCell ref="F96:I96"/>
    <mergeCell ref="F97:I97"/>
    <mergeCell ref="C100:P100"/>
    <mergeCell ref="D112:F112"/>
    <mergeCell ref="D113:F113"/>
    <mergeCell ref="C161:E161"/>
    <mergeCell ref="C163:H163"/>
    <mergeCell ref="C164:H164"/>
    <mergeCell ref="E177:H177"/>
    <mergeCell ref="E178:H178"/>
    <mergeCell ref="E168:H168"/>
    <mergeCell ref="C171:H171"/>
    <mergeCell ref="C172:H172"/>
    <mergeCell ref="C173:H173"/>
    <mergeCell ref="C174:H174"/>
    <mergeCell ref="E175:H175"/>
  </mergeCells>
  <conditionalFormatting sqref="N21">
    <cfRule type="cellIs" dxfId="3" priority="2" operator="equal">
      <formula>"X"</formula>
    </cfRule>
  </conditionalFormatting>
  <conditionalFormatting sqref="M21">
    <cfRule type="expression" dxfId="2" priority="1">
      <formula>$N$21&lt;&gt;""</formula>
    </cfRule>
  </conditionalFormatting>
  <dataValidations count="1">
    <dataValidation type="list" allowBlank="1" showInputMessage="1" showErrorMessage="1" sqref="N21">
      <formula1>"X"</formula1>
    </dataValidation>
  </dataValidations>
  <pageMargins left="0.7" right="0.7" top="0.75" bottom="0.75" header="0.3" footer="0.3"/>
  <pageSetup paperSize="17" scale="95" fitToHeight="0" orientation="portrait" r:id="rId1"/>
  <headerFooter>
    <oddFooter>&amp;LForm 8E(b)
Operating Pro Forma&amp;CCFA Forms&amp;REdition: 2015
Version: 1.1</oddFooter>
  </headerFooter>
  <rowBreaks count="1" manualBreakCount="1">
    <brk id="98" min="1" max="16"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169"/>
  <sheetViews>
    <sheetView showGridLines="0" zoomScaleNormal="100" workbookViewId="0">
      <selection activeCell="I167" sqref="I167:P167"/>
    </sheetView>
  </sheetViews>
  <sheetFormatPr defaultRowHeight="15" x14ac:dyDescent="0.25"/>
  <cols>
    <col min="1" max="2" width="1.7109375" style="839" customWidth="1"/>
    <col min="3" max="3" width="14.28515625" style="839" customWidth="1"/>
    <col min="4" max="4" width="9.140625" style="839" customWidth="1"/>
    <col min="5" max="6" width="9.140625" style="839"/>
    <col min="7" max="7" width="1.42578125" style="839" customWidth="1"/>
    <col min="8" max="16" width="9.140625" style="839"/>
    <col min="17" max="17" width="1.7109375" style="839" customWidth="1"/>
    <col min="18" max="16384" width="9.140625" style="839"/>
  </cols>
  <sheetData>
    <row r="5" spans="2:17" ht="15.75" thickBot="1" x14ac:dyDescent="0.3"/>
    <row r="6" spans="2:17" ht="9" customHeight="1" x14ac:dyDescent="0.25">
      <c r="B6" s="511"/>
      <c r="C6" s="512"/>
      <c r="D6" s="512"/>
      <c r="E6" s="512"/>
      <c r="F6" s="512"/>
      <c r="G6" s="512"/>
      <c r="H6" s="512"/>
      <c r="I6" s="512"/>
      <c r="J6" s="512"/>
      <c r="K6" s="512"/>
      <c r="L6" s="512"/>
      <c r="M6" s="512"/>
      <c r="N6" s="512"/>
      <c r="O6" s="512"/>
      <c r="P6" s="512"/>
      <c r="Q6" s="513"/>
    </row>
    <row r="7" spans="2:17" ht="18.75" x14ac:dyDescent="0.3">
      <c r="B7" s="514"/>
      <c r="C7" s="1823" t="s">
        <v>1404</v>
      </c>
      <c r="D7" s="1658"/>
      <c r="E7" s="1658"/>
      <c r="F7" s="1658"/>
      <c r="G7" s="1658"/>
      <c r="H7" s="1658"/>
      <c r="I7" s="1658"/>
      <c r="J7" s="1658"/>
      <c r="K7" s="1658"/>
      <c r="L7" s="1658"/>
      <c r="M7" s="1658"/>
      <c r="N7" s="1658"/>
      <c r="O7" s="1658"/>
      <c r="P7" s="1658"/>
      <c r="Q7" s="516"/>
    </row>
    <row r="8" spans="2:17" x14ac:dyDescent="0.25">
      <c r="B8" s="514"/>
      <c r="C8" s="515"/>
      <c r="D8" s="515"/>
      <c r="E8" s="515"/>
      <c r="F8" s="515"/>
      <c r="G8" s="515"/>
      <c r="H8" s="515"/>
      <c r="I8" s="515"/>
      <c r="J8" s="515"/>
      <c r="K8" s="515"/>
      <c r="L8" s="515"/>
      <c r="M8" s="515"/>
      <c r="N8" s="515"/>
      <c r="O8" s="515"/>
      <c r="P8" s="515"/>
      <c r="Q8" s="516"/>
    </row>
    <row r="9" spans="2:17" x14ac:dyDescent="0.25">
      <c r="B9" s="514"/>
      <c r="C9" s="1123" t="s">
        <v>59</v>
      </c>
      <c r="D9" s="1822" t="str">
        <f>IF('1A'!G5="","Enter Project Name on Form 1A",'1A'!G5)</f>
        <v>University District Apartments</v>
      </c>
      <c r="E9" s="1822"/>
      <c r="F9" s="1822"/>
      <c r="G9" s="1822"/>
      <c r="H9" s="1822"/>
      <c r="I9" s="1822"/>
      <c r="J9" s="1822"/>
      <c r="K9" s="1208"/>
      <c r="L9" s="821"/>
      <c r="M9" s="1385" t="s">
        <v>402</v>
      </c>
      <c r="N9" s="1878">
        <f>IF('8E(2)- 4%'!N11="","",'8E(2)- 4%'!N11)</f>
        <v>42262</v>
      </c>
      <c r="O9" s="1123"/>
      <c r="P9" s="1123"/>
      <c r="Q9" s="516"/>
    </row>
    <row r="10" spans="2:17" ht="3.75" customHeight="1" x14ac:dyDescent="0.25">
      <c r="B10" s="514"/>
      <c r="C10" s="1123"/>
      <c r="D10" s="1123"/>
      <c r="E10" s="1123"/>
      <c r="F10" s="1123"/>
      <c r="G10" s="1123"/>
      <c r="H10" s="1123"/>
      <c r="I10" s="1123"/>
      <c r="J10" s="1208"/>
      <c r="K10" s="1208"/>
      <c r="L10" s="1208"/>
      <c r="M10" s="1208"/>
      <c r="N10" s="1123"/>
      <c r="O10" s="1123"/>
      <c r="P10" s="1123"/>
      <c r="Q10" s="516"/>
    </row>
    <row r="11" spans="2:17" x14ac:dyDescent="0.25">
      <c r="B11" s="517"/>
      <c r="C11" s="1123" t="s">
        <v>1400</v>
      </c>
      <c r="D11" s="1822" t="str">
        <f>IF('1A'!G29="","Enter Site Name on Form 1A",'1A'!G29)</f>
        <v>Project A-  4%</v>
      </c>
      <c r="E11" s="1822"/>
      <c r="F11" s="1822"/>
      <c r="G11" s="1822"/>
      <c r="H11" s="1822"/>
      <c r="I11" s="1822"/>
      <c r="J11" s="1822"/>
      <c r="K11" s="519"/>
      <c r="O11" s="520"/>
      <c r="P11" s="519"/>
      <c r="Q11" s="521"/>
    </row>
    <row r="12" spans="2:17" ht="7.5" customHeight="1" x14ac:dyDescent="0.25">
      <c r="B12" s="517"/>
      <c r="C12" s="522"/>
      <c r="D12" s="519"/>
      <c r="E12" s="518"/>
      <c r="F12" s="518"/>
      <c r="G12" s="518"/>
      <c r="H12" s="518"/>
      <c r="I12" s="518"/>
      <c r="J12" s="519"/>
      <c r="K12" s="519"/>
      <c r="L12" s="519"/>
      <c r="M12" s="519"/>
      <c r="N12" s="519"/>
      <c r="O12" s="520"/>
      <c r="P12" s="519"/>
      <c r="Q12" s="521"/>
    </row>
    <row r="13" spans="2:17" ht="15.75" thickBot="1" x14ac:dyDescent="0.3">
      <c r="B13" s="523"/>
      <c r="C13" s="592" t="s">
        <v>403</v>
      </c>
      <c r="D13" s="443"/>
      <c r="E13" s="444"/>
      <c r="F13" s="444"/>
      <c r="G13" s="444"/>
      <c r="H13" s="444"/>
      <c r="I13" s="444"/>
      <c r="J13" s="443"/>
      <c r="K13" s="443"/>
      <c r="L13" s="443"/>
      <c r="M13" s="443"/>
      <c r="N13" s="443"/>
      <c r="O13" s="445"/>
      <c r="P13" s="443"/>
      <c r="Q13" s="525"/>
    </row>
    <row r="14" spans="2:17" ht="15.75" thickBot="1" x14ac:dyDescent="0.3">
      <c r="B14" s="394"/>
      <c r="C14" s="1208"/>
      <c r="D14" s="515"/>
      <c r="E14" s="1208"/>
      <c r="F14" s="1208"/>
      <c r="G14" s="1208"/>
      <c r="H14" s="1208"/>
      <c r="I14" s="1208"/>
      <c r="J14" s="446" t="s">
        <v>404</v>
      </c>
      <c r="K14" s="447" t="s">
        <v>405</v>
      </c>
      <c r="L14" s="447" t="s">
        <v>406</v>
      </c>
      <c r="M14" s="447" t="s">
        <v>407</v>
      </c>
      <c r="N14" s="447" t="s">
        <v>408</v>
      </c>
      <c r="O14" s="447" t="s">
        <v>409</v>
      </c>
      <c r="P14" s="448" t="s">
        <v>410</v>
      </c>
      <c r="Q14" s="944"/>
    </row>
    <row r="15" spans="2:17" ht="15.75" thickBot="1" x14ac:dyDescent="0.3">
      <c r="B15" s="394"/>
      <c r="C15" s="524" t="s">
        <v>411</v>
      </c>
      <c r="D15" s="942"/>
      <c r="E15" s="1208"/>
      <c r="F15" s="1208"/>
      <c r="G15" s="1208"/>
      <c r="H15" s="449" t="s">
        <v>412</v>
      </c>
      <c r="I15" s="1208"/>
      <c r="J15" s="450"/>
      <c r="K15" s="451"/>
      <c r="L15" s="451"/>
      <c r="M15" s="451"/>
      <c r="N15" s="451"/>
      <c r="O15" s="451"/>
      <c r="P15" s="452"/>
      <c r="Q15" s="944"/>
    </row>
    <row r="16" spans="2:17" x14ac:dyDescent="0.25">
      <c r="B16" s="394"/>
      <c r="C16" s="526" t="s">
        <v>413</v>
      </c>
      <c r="D16" s="1327"/>
      <c r="E16" s="1327"/>
      <c r="F16" s="1327"/>
      <c r="G16" s="1328"/>
      <c r="H16" s="1879">
        <v>2.5000000000000001E-2</v>
      </c>
      <c r="I16" s="1329"/>
      <c r="J16" s="1880">
        <f>'8E(2)- 4%'!J18+'8E(2)- 9%'!J18</f>
        <v>1372728</v>
      </c>
      <c r="K16" s="1881">
        <f>'8E(2)- 4%'!K18+'8E(2)- 9%'!K18</f>
        <v>1407046.2</v>
      </c>
      <c r="L16" s="1881">
        <f>'8E(2)- 4%'!L18+'8E(2)- 9%'!L18</f>
        <v>1442222.355</v>
      </c>
      <c r="M16" s="1881">
        <f>'8E(2)- 4%'!M18+'8E(2)- 9%'!M18</f>
        <v>1478277.9138749999</v>
      </c>
      <c r="N16" s="1881">
        <f>'8E(2)- 4%'!N18+'8E(2)- 9%'!N18</f>
        <v>1515234.8617218751</v>
      </c>
      <c r="O16" s="1881">
        <f>'8E(2)- 4%'!O18+'8E(2)- 9%'!O18</f>
        <v>1553115.7332649219</v>
      </c>
      <c r="P16" s="1882">
        <f>'8E(2)- 4%'!P18+'8E(2)- 9%'!P18</f>
        <v>1591943.6265965451</v>
      </c>
      <c r="Q16" s="944"/>
    </row>
    <row r="17" spans="2:17" ht="15.75" thickBot="1" x14ac:dyDescent="0.3">
      <c r="B17" s="394"/>
      <c r="C17" s="529" t="s">
        <v>361</v>
      </c>
      <c r="D17" s="530"/>
      <c r="E17" s="1330"/>
      <c r="F17" s="1330"/>
      <c r="G17" s="1331"/>
      <c r="H17" s="1883">
        <v>2.5000000000000001E-2</v>
      </c>
      <c r="I17" s="1332"/>
      <c r="J17" s="788"/>
      <c r="K17" s="1373"/>
      <c r="L17" s="1373"/>
      <c r="M17" s="1373"/>
      <c r="N17" s="1373"/>
      <c r="O17" s="1373"/>
      <c r="P17" s="1374"/>
      <c r="Q17" s="944"/>
    </row>
    <row r="18" spans="2:17" ht="15.75" thickBot="1" x14ac:dyDescent="0.3">
      <c r="B18" s="394"/>
      <c r="C18" s="1960" t="s">
        <v>371</v>
      </c>
      <c r="D18" s="1961"/>
      <c r="E18" s="1962"/>
      <c r="F18" s="1962"/>
      <c r="G18" s="1962"/>
      <c r="H18" s="1334"/>
      <c r="I18" s="1331"/>
      <c r="J18" s="1884">
        <f>'8E(2)- 4%'!J20+'8E(2)- 9%'!J20</f>
        <v>0</v>
      </c>
      <c r="K18" s="1881">
        <f>'8E(2)- 4%'!K20+'8E(2)- 9%'!K20</f>
        <v>0</v>
      </c>
      <c r="L18" s="1881">
        <f>'8E(2)- 4%'!L20+'8E(2)- 9%'!L20</f>
        <v>0</v>
      </c>
      <c r="M18" s="1881">
        <f>'8E(2)- 4%'!M20+'8E(2)- 9%'!M20</f>
        <v>0</v>
      </c>
      <c r="N18" s="1881">
        <f>'8E(2)- 4%'!N20+'8E(2)- 9%'!N20</f>
        <v>0</v>
      </c>
      <c r="O18" s="1881">
        <f>'8E(2)- 4%'!O20+'8E(2)- 9%'!O20</f>
        <v>0</v>
      </c>
      <c r="P18" s="1882">
        <f>'8E(2)- 4%'!P20+'8E(2)- 9%'!P20</f>
        <v>0</v>
      </c>
      <c r="Q18" s="944"/>
    </row>
    <row r="19" spans="2:17" x14ac:dyDescent="0.25">
      <c r="B19" s="394"/>
      <c r="C19" s="526" t="s">
        <v>414</v>
      </c>
      <c r="D19" s="2472"/>
      <c r="E19" s="2472"/>
      <c r="F19" s="2472"/>
      <c r="G19" s="1328"/>
      <c r="H19" s="1879">
        <v>0</v>
      </c>
      <c r="I19" s="1332"/>
      <c r="J19" s="1885">
        <f>'8E(2)- 4%'!J21+'8E(2)- 9%'!J21</f>
        <v>16625</v>
      </c>
      <c r="K19" s="1881">
        <f>'8E(2)- 4%'!K21+'8E(2)- 9%'!K21</f>
        <v>16790.625</v>
      </c>
      <c r="L19" s="1881">
        <f>'8E(2)- 4%'!L21+'8E(2)- 9%'!L21</f>
        <v>16960.390625</v>
      </c>
      <c r="M19" s="1881">
        <f>'8E(2)- 4%'!M21+'8E(2)- 9%'!M21</f>
        <v>17134.400390625</v>
      </c>
      <c r="N19" s="1881">
        <f>'8E(2)- 4%'!N21+'8E(2)- 9%'!N21</f>
        <v>17312.760400390624</v>
      </c>
      <c r="O19" s="1881">
        <f>'8E(2)- 4%'!O21+'8E(2)- 9%'!O21</f>
        <v>17495.579410400391</v>
      </c>
      <c r="P19" s="1882">
        <f>'8E(2)- 4%'!P21+'8E(2)- 9%'!P21</f>
        <v>17682.9688956604</v>
      </c>
      <c r="Q19" s="944"/>
    </row>
    <row r="20" spans="2:17" ht="15.75" thickBot="1" x14ac:dyDescent="0.3">
      <c r="B20" s="394"/>
      <c r="C20" s="529" t="s">
        <v>414</v>
      </c>
      <c r="D20" s="2538"/>
      <c r="E20" s="2538"/>
      <c r="F20" s="2538"/>
      <c r="G20" s="1328"/>
      <c r="H20" s="1886">
        <v>0</v>
      </c>
      <c r="I20" s="1332"/>
      <c r="J20" s="1887">
        <f>'8E(2)- 4%'!J22+'8E(2)- 9%'!J22</f>
        <v>22265</v>
      </c>
      <c r="K20" s="1881">
        <f>'8E(2)- 4%'!K22+'8E(2)- 9%'!K22</f>
        <v>22364.375</v>
      </c>
      <c r="L20" s="1881">
        <f>'8E(2)- 4%'!L22+'8E(2)- 9%'!L22</f>
        <v>22466.234375</v>
      </c>
      <c r="M20" s="1881">
        <f>'8E(2)- 4%'!M22+'8E(2)- 9%'!M22</f>
        <v>22570.640234375001</v>
      </c>
      <c r="N20" s="1881">
        <f>'8E(2)- 4%'!N22+'8E(2)- 9%'!N22</f>
        <v>22677.656240234373</v>
      </c>
      <c r="O20" s="1881">
        <f>'8E(2)- 4%'!O22+'8E(2)- 9%'!O22</f>
        <v>22787.347646240232</v>
      </c>
      <c r="P20" s="1882">
        <f>'8E(2)- 4%'!P22+'8E(2)- 9%'!P22</f>
        <v>22899.781337396242</v>
      </c>
      <c r="Q20" s="944"/>
    </row>
    <row r="21" spans="2:17" x14ac:dyDescent="0.25">
      <c r="B21" s="394"/>
      <c r="C21" s="532" t="s">
        <v>415</v>
      </c>
      <c r="D21" s="1208"/>
      <c r="E21" s="1208"/>
      <c r="F21" s="1208"/>
      <c r="G21" s="1208"/>
      <c r="H21" s="1208"/>
      <c r="I21" s="533" t="s">
        <v>416</v>
      </c>
      <c r="J21" s="453">
        <f>SUM(J16:J20)</f>
        <v>1411618</v>
      </c>
      <c r="K21" s="454">
        <f t="shared" ref="K21:P21" si="0">SUM(K16:K20)</f>
        <v>1446201.2</v>
      </c>
      <c r="L21" s="454">
        <f t="shared" si="0"/>
        <v>1481648.98</v>
      </c>
      <c r="M21" s="454">
        <f t="shared" si="0"/>
        <v>1517982.9544999998</v>
      </c>
      <c r="N21" s="454">
        <f t="shared" si="0"/>
        <v>1555225.2783625002</v>
      </c>
      <c r="O21" s="454">
        <f t="shared" si="0"/>
        <v>1593398.6603215626</v>
      </c>
      <c r="P21" s="455">
        <f t="shared" si="0"/>
        <v>1632526.3768296018</v>
      </c>
      <c r="Q21" s="944"/>
    </row>
    <row r="22" spans="2:17" x14ac:dyDescent="0.25">
      <c r="B22" s="394"/>
      <c r="C22" s="532"/>
      <c r="D22" s="533"/>
      <c r="E22" s="1208"/>
      <c r="F22" s="1208"/>
      <c r="G22" s="1208"/>
      <c r="H22" s="1208"/>
      <c r="I22" s="1208"/>
      <c r="J22" s="456"/>
      <c r="K22" s="457"/>
      <c r="L22" s="457"/>
      <c r="M22" s="457"/>
      <c r="N22" s="457"/>
      <c r="O22" s="457"/>
      <c r="P22" s="458"/>
      <c r="Q22" s="944"/>
    </row>
    <row r="23" spans="2:17" x14ac:dyDescent="0.25">
      <c r="B23" s="394"/>
      <c r="C23" s="532" t="s">
        <v>417</v>
      </c>
      <c r="D23" s="534"/>
      <c r="E23" s="1208"/>
      <c r="F23" s="1208"/>
      <c r="G23" s="1208"/>
      <c r="H23" s="1335"/>
      <c r="I23" s="942"/>
      <c r="J23" s="1885">
        <f>'8E(2)- 4%'!J25+'8E(2)- 9%'!J25</f>
        <v>0</v>
      </c>
      <c r="K23" s="1888">
        <f>'8E(2)- 4%'!K25+'8E(2)- 9%'!K25</f>
        <v>0</v>
      </c>
      <c r="L23" s="1888">
        <f>'8E(2)- 4%'!L25+'8E(2)- 9%'!L25</f>
        <v>0</v>
      </c>
      <c r="M23" s="1888">
        <f>'8E(2)- 4%'!M25+'8E(2)- 9%'!M25</f>
        <v>0</v>
      </c>
      <c r="N23" s="1888">
        <f>'8E(2)- 4%'!N25+'8E(2)- 9%'!N25</f>
        <v>0</v>
      </c>
      <c r="O23" s="1888">
        <f>'8E(2)- 4%'!O25+'8E(2)- 9%'!O25</f>
        <v>0</v>
      </c>
      <c r="P23" s="1889">
        <f>'8E(2)- 4%'!P25+'8E(2)- 9%'!P25</f>
        <v>0</v>
      </c>
      <c r="Q23" s="944"/>
    </row>
    <row r="24" spans="2:17" x14ac:dyDescent="0.25">
      <c r="B24" s="394"/>
      <c r="C24" s="532"/>
      <c r="D24" s="534"/>
      <c r="E24" s="1208"/>
      <c r="F24" s="1208"/>
      <c r="G24" s="1208"/>
      <c r="H24" s="1208"/>
      <c r="I24" s="1208"/>
      <c r="J24" s="456"/>
      <c r="K24" s="457"/>
      <c r="L24" s="457"/>
      <c r="M24" s="457"/>
      <c r="N24" s="457"/>
      <c r="O24" s="457"/>
      <c r="P24" s="458"/>
      <c r="Q24" s="944"/>
    </row>
    <row r="25" spans="2:17" ht="15.75" thickBot="1" x14ac:dyDescent="0.3">
      <c r="B25" s="394"/>
      <c r="C25" s="535" t="s">
        <v>418</v>
      </c>
      <c r="D25" s="536"/>
      <c r="E25" s="1336"/>
      <c r="F25" s="1336"/>
      <c r="G25" s="1336"/>
      <c r="H25" s="1337"/>
      <c r="I25" s="1338"/>
      <c r="J25" s="1890">
        <f>'8E(2)- 4%'!J27+'8E(2)- 9%'!J27</f>
        <v>0</v>
      </c>
      <c r="K25" s="1891">
        <f>'8E(2)- 4%'!K27+'8E(2)- 9%'!K27</f>
        <v>0</v>
      </c>
      <c r="L25" s="1891">
        <f>'8E(2)- 4%'!L27+'8E(2)- 9%'!L27</f>
        <v>0</v>
      </c>
      <c r="M25" s="1891">
        <f>'8E(2)- 4%'!M27+'8E(2)- 9%'!M27</f>
        <v>0</v>
      </c>
      <c r="N25" s="1891">
        <f>'8E(2)- 4%'!N27+'8E(2)- 9%'!N27</f>
        <v>0</v>
      </c>
      <c r="O25" s="1891">
        <f>'8E(2)- 4%'!O27+'8E(2)- 9%'!O27</f>
        <v>0</v>
      </c>
      <c r="P25" s="1892">
        <f>'8E(2)- 4%'!P27+'8E(2)- 9%'!P27</f>
        <v>0</v>
      </c>
      <c r="Q25" s="944"/>
    </row>
    <row r="26" spans="2:17" ht="15.75" thickTop="1" x14ac:dyDescent="0.25">
      <c r="B26" s="394"/>
      <c r="C26" s="524" t="s">
        <v>419</v>
      </c>
      <c r="D26" s="1208"/>
      <c r="E26" s="1208"/>
      <c r="F26" s="1208"/>
      <c r="G26" s="1208"/>
      <c r="H26" s="1208"/>
      <c r="I26" s="534" t="s">
        <v>416</v>
      </c>
      <c r="J26" s="459">
        <f>J21+J23+J25</f>
        <v>1411618</v>
      </c>
      <c r="K26" s="460">
        <f t="shared" ref="K26:P26" si="1">K21+K23+K25</f>
        <v>1446201.2</v>
      </c>
      <c r="L26" s="460">
        <f t="shared" si="1"/>
        <v>1481648.98</v>
      </c>
      <c r="M26" s="460">
        <f t="shared" si="1"/>
        <v>1517982.9544999998</v>
      </c>
      <c r="N26" s="460">
        <f t="shared" si="1"/>
        <v>1555225.2783625002</v>
      </c>
      <c r="O26" s="460">
        <f t="shared" si="1"/>
        <v>1593398.6603215626</v>
      </c>
      <c r="P26" s="461">
        <f t="shared" si="1"/>
        <v>1632526.3768296018</v>
      </c>
      <c r="Q26" s="944"/>
    </row>
    <row r="27" spans="2:17" ht="15.75" thickBot="1" x14ac:dyDescent="0.3">
      <c r="B27" s="394"/>
      <c r="C27" s="524"/>
      <c r="D27" s="1208"/>
      <c r="E27" s="1208"/>
      <c r="F27" s="1208"/>
      <c r="G27" s="1208"/>
      <c r="H27" s="537" t="s">
        <v>420</v>
      </c>
      <c r="I27" s="1208"/>
      <c r="J27" s="456"/>
      <c r="K27" s="457"/>
      <c r="L27" s="457"/>
      <c r="M27" s="457"/>
      <c r="N27" s="457"/>
      <c r="O27" s="457"/>
      <c r="P27" s="458"/>
      <c r="Q27" s="944"/>
    </row>
    <row r="28" spans="2:17" x14ac:dyDescent="0.25">
      <c r="B28" s="394"/>
      <c r="C28" s="538" t="s">
        <v>421</v>
      </c>
      <c r="D28" s="1327"/>
      <c r="E28" s="1327"/>
      <c r="F28" s="1327"/>
      <c r="G28" s="1328"/>
      <c r="H28" s="1879">
        <v>0.05</v>
      </c>
      <c r="I28" s="1329"/>
      <c r="J28" s="1339">
        <f>-J21*$H28</f>
        <v>-70580.900000000009</v>
      </c>
      <c r="K28" s="1340">
        <f t="shared" ref="K28:P28" si="2">-K21*$H28</f>
        <v>-72310.06</v>
      </c>
      <c r="L28" s="1340">
        <f t="shared" si="2"/>
        <v>-74082.449000000008</v>
      </c>
      <c r="M28" s="1340">
        <f t="shared" si="2"/>
        <v>-75899.147724999988</v>
      </c>
      <c r="N28" s="1340">
        <f t="shared" si="2"/>
        <v>-77761.263918125012</v>
      </c>
      <c r="O28" s="1340">
        <f t="shared" si="2"/>
        <v>-79669.933016078139</v>
      </c>
      <c r="P28" s="1341">
        <f t="shared" si="2"/>
        <v>-81626.318841480097</v>
      </c>
      <c r="Q28" s="944"/>
    </row>
    <row r="29" spans="2:17" ht="15.75" thickBot="1" x14ac:dyDescent="0.3">
      <c r="B29" s="394"/>
      <c r="C29" s="539" t="s">
        <v>422</v>
      </c>
      <c r="D29" s="1336"/>
      <c r="E29" s="1336"/>
      <c r="F29" s="1336"/>
      <c r="G29" s="1336"/>
      <c r="H29" s="1893">
        <v>0.1</v>
      </c>
      <c r="I29" s="1342"/>
      <c r="J29" s="1343">
        <f>-J25*$H29</f>
        <v>0</v>
      </c>
      <c r="K29" s="1344">
        <f t="shared" ref="K29:P29" si="3">-K25*$H29</f>
        <v>0</v>
      </c>
      <c r="L29" s="1344">
        <f t="shared" si="3"/>
        <v>0</v>
      </c>
      <c r="M29" s="1344">
        <f t="shared" si="3"/>
        <v>0</v>
      </c>
      <c r="N29" s="1344">
        <f t="shared" si="3"/>
        <v>0</v>
      </c>
      <c r="O29" s="1344">
        <f t="shared" si="3"/>
        <v>0</v>
      </c>
      <c r="P29" s="1345">
        <f t="shared" si="3"/>
        <v>0</v>
      </c>
      <c r="Q29" s="944"/>
    </row>
    <row r="30" spans="2:17" ht="16.5" thickTop="1" thickBot="1" x14ac:dyDescent="0.3">
      <c r="B30" s="394"/>
      <c r="C30" s="540" t="s">
        <v>423</v>
      </c>
      <c r="D30" s="1208"/>
      <c r="E30" s="1208"/>
      <c r="F30" s="1208"/>
      <c r="G30" s="1208"/>
      <c r="H30" s="1208"/>
      <c r="I30" s="533" t="s">
        <v>416</v>
      </c>
      <c r="J30" s="1714">
        <f>J26+J28+J29</f>
        <v>1341037.1000000001</v>
      </c>
      <c r="K30" s="1715">
        <f t="shared" ref="K30:P30" si="4">K26+K28+K29</f>
        <v>1373891.14</v>
      </c>
      <c r="L30" s="1715">
        <f t="shared" si="4"/>
        <v>1407566.531</v>
      </c>
      <c r="M30" s="1715">
        <f t="shared" si="4"/>
        <v>1442083.8067749997</v>
      </c>
      <c r="N30" s="1715">
        <f t="shared" si="4"/>
        <v>1477464.0144443752</v>
      </c>
      <c r="O30" s="1715">
        <f t="shared" si="4"/>
        <v>1513728.7273054845</v>
      </c>
      <c r="P30" s="1716">
        <f t="shared" si="4"/>
        <v>1550900.0579881216</v>
      </c>
      <c r="Q30" s="944"/>
    </row>
    <row r="31" spans="2:17" ht="7.5" customHeight="1" x14ac:dyDescent="0.25">
      <c r="B31" s="394"/>
      <c r="C31" s="942"/>
      <c r="D31" s="942"/>
      <c r="E31" s="1208"/>
      <c r="F31" s="1208"/>
      <c r="G31" s="1208"/>
      <c r="H31" s="1208"/>
      <c r="I31" s="1208"/>
      <c r="J31" s="942"/>
      <c r="K31" s="942"/>
      <c r="L31" s="942"/>
      <c r="M31" s="942"/>
      <c r="N31" s="942"/>
      <c r="O31" s="942"/>
      <c r="P31" s="942"/>
      <c r="Q31" s="944"/>
    </row>
    <row r="32" spans="2:17" ht="15.75" thickBot="1" x14ac:dyDescent="0.3">
      <c r="B32" s="517"/>
      <c r="C32" s="593" t="s">
        <v>424</v>
      </c>
      <c r="D32" s="463"/>
      <c r="E32" s="463"/>
      <c r="F32" s="463"/>
      <c r="G32" s="463"/>
      <c r="H32" s="463"/>
      <c r="I32" s="463"/>
      <c r="J32" s="463"/>
      <c r="K32" s="463"/>
      <c r="L32" s="463"/>
      <c r="M32" s="464"/>
      <c r="N32" s="463"/>
      <c r="O32" s="463"/>
      <c r="P32" s="463"/>
      <c r="Q32" s="521"/>
    </row>
    <row r="33" spans="2:17" ht="36.75" thickBot="1" x14ac:dyDescent="0.3">
      <c r="B33" s="517"/>
      <c r="C33" s="524" t="s">
        <v>425</v>
      </c>
      <c r="D33" s="515"/>
      <c r="E33" s="532"/>
      <c r="F33" s="541" t="s">
        <v>412</v>
      </c>
      <c r="G33" s="542"/>
      <c r="H33" s="518"/>
      <c r="I33" s="465" t="s">
        <v>426</v>
      </c>
      <c r="J33" s="446" t="s">
        <v>404</v>
      </c>
      <c r="K33" s="447" t="s">
        <v>405</v>
      </c>
      <c r="L33" s="447" t="s">
        <v>406</v>
      </c>
      <c r="M33" s="447" t="s">
        <v>407</v>
      </c>
      <c r="N33" s="447" t="s">
        <v>408</v>
      </c>
      <c r="O33" s="447" t="s">
        <v>409</v>
      </c>
      <c r="P33" s="448" t="s">
        <v>410</v>
      </c>
      <c r="Q33" s="516"/>
    </row>
    <row r="34" spans="2:17" x14ac:dyDescent="0.25">
      <c r="B34" s="517"/>
      <c r="C34" s="543" t="s">
        <v>427</v>
      </c>
      <c r="D34" s="544"/>
      <c r="E34" s="545"/>
      <c r="F34" s="1879">
        <v>3.5000000000000003E-2</v>
      </c>
      <c r="G34" s="1346"/>
      <c r="H34" s="546"/>
      <c r="I34" s="466">
        <f>IFERROR(J34/'1B - 4%'!$L$23,"")</f>
        <v>1997.3331249999999</v>
      </c>
      <c r="J34" s="1894">
        <f>'8E(2)- 4%'!J36+'8E(2)- 9%'!J36</f>
        <v>159786.65</v>
      </c>
      <c r="K34" s="1895">
        <f>'8E(2)- 4%'!K36+'8E(2)- 9%'!K36</f>
        <v>165379.18274999998</v>
      </c>
      <c r="L34" s="1895">
        <f>'8E(2)- 4%'!L36+'8E(2)- 9%'!L36</f>
        <v>171167.45414624998</v>
      </c>
      <c r="M34" s="1895">
        <f>'8E(2)- 4%'!M36+'8E(2)- 9%'!M36</f>
        <v>177158.31504136874</v>
      </c>
      <c r="N34" s="1895">
        <f>'8E(2)- 4%'!N36+'8E(2)- 9%'!N36</f>
        <v>183358.85606781664</v>
      </c>
      <c r="O34" s="1895">
        <f>'8E(2)- 4%'!O36+'8E(2)- 9%'!O36</f>
        <v>189776.41603019022</v>
      </c>
      <c r="P34" s="1896">
        <f>'8E(2)- 4%'!P36+'8E(2)- 9%'!P36</f>
        <v>196418.59059124687</v>
      </c>
      <c r="Q34" s="516"/>
    </row>
    <row r="35" spans="2:17" x14ac:dyDescent="0.25">
      <c r="B35" s="550"/>
      <c r="C35" s="551" t="s">
        <v>428</v>
      </c>
      <c r="D35" s="552"/>
      <c r="E35" s="553"/>
      <c r="F35" s="1897">
        <v>3.5000000000000003E-2</v>
      </c>
      <c r="G35" s="1347"/>
      <c r="H35" s="554"/>
      <c r="I35" s="467">
        <f>IFERROR(J35/'1B - 4%'!$L$23,"")</f>
        <v>1176.6624999999999</v>
      </c>
      <c r="J35" s="1898">
        <f>'8E(2)- 4%'!J37+'8E(2)- 9%'!J37</f>
        <v>94133</v>
      </c>
      <c r="K35" s="1899">
        <f>'8E(2)- 4%'!K37+'8E(2)- 9%'!K37</f>
        <v>96486.325000000012</v>
      </c>
      <c r="L35" s="1899">
        <f>'8E(2)- 4%'!L37+'8E(2)- 9%'!L37</f>
        <v>98898.483124999999</v>
      </c>
      <c r="M35" s="1899">
        <f>'8E(2)- 4%'!M37+'8E(2)- 9%'!M37</f>
        <v>101370.94520312501</v>
      </c>
      <c r="N35" s="1899">
        <f>'8E(2)- 4%'!N37+'8E(2)- 9%'!N37</f>
        <v>103905.21883320314</v>
      </c>
      <c r="O35" s="1899">
        <f>'8E(2)- 4%'!O37+'8E(2)- 9%'!O37</f>
        <v>106502.84930403321</v>
      </c>
      <c r="P35" s="1900">
        <f>'8E(2)- 4%'!P37+'8E(2)- 9%'!P37</f>
        <v>109165.42053663403</v>
      </c>
      <c r="Q35" s="516"/>
    </row>
    <row r="36" spans="2:17" x14ac:dyDescent="0.25">
      <c r="B36" s="517"/>
      <c r="C36" s="551" t="s">
        <v>429</v>
      </c>
      <c r="D36" s="552"/>
      <c r="E36" s="553"/>
      <c r="F36" s="1897">
        <v>3.5000000000000003E-2</v>
      </c>
      <c r="G36" s="1347"/>
      <c r="H36" s="554"/>
      <c r="I36" s="467">
        <f>IFERROR(J36/'1B - 4%'!$L$23,"")</f>
        <v>212.5</v>
      </c>
      <c r="J36" s="1898">
        <f>'8E(2)- 4%'!J38+'8E(2)- 9%'!J38</f>
        <v>17000</v>
      </c>
      <c r="K36" s="1899">
        <f>'8E(2)- 4%'!K38+'8E(2)- 9%'!K38</f>
        <v>17595</v>
      </c>
      <c r="L36" s="1899">
        <f>'8E(2)- 4%'!L38+'8E(2)- 9%'!L38</f>
        <v>18210.825000000001</v>
      </c>
      <c r="M36" s="1899">
        <f>'8E(2)- 4%'!M38+'8E(2)- 9%'!M38</f>
        <v>18848.203874999999</v>
      </c>
      <c r="N36" s="1899">
        <f>'8E(2)- 4%'!N38+'8E(2)- 9%'!N38</f>
        <v>19507.891010625</v>
      </c>
      <c r="O36" s="1899">
        <f>'8E(2)- 4%'!O38+'8E(2)- 9%'!O38</f>
        <v>20190.667195996877</v>
      </c>
      <c r="P36" s="1900">
        <f>'8E(2)- 4%'!P38+'8E(2)- 9%'!P38</f>
        <v>20897.340547856769</v>
      </c>
      <c r="Q36" s="516"/>
    </row>
    <row r="37" spans="2:17" x14ac:dyDescent="0.25">
      <c r="B37" s="517"/>
      <c r="C37" s="551" t="s">
        <v>430</v>
      </c>
      <c r="D37" s="553"/>
      <c r="E37" s="552"/>
      <c r="F37" s="1897">
        <v>3.5000000000000003E-2</v>
      </c>
      <c r="G37" s="1347"/>
      <c r="H37" s="554"/>
      <c r="I37" s="467">
        <f>IFERROR(J37/'1B - 4%'!$L$23,"")</f>
        <v>33.25</v>
      </c>
      <c r="J37" s="1898">
        <f>'8E(2)- 4%'!J39+'8E(2)- 9%'!J39</f>
        <v>2660</v>
      </c>
      <c r="K37" s="1899">
        <f>'8E(2)- 4%'!K39+'8E(2)- 9%'!K39</f>
        <v>2753.1</v>
      </c>
      <c r="L37" s="1899">
        <f>'8E(2)- 4%'!L39+'8E(2)- 9%'!L39</f>
        <v>2849.4584999999997</v>
      </c>
      <c r="M37" s="1899">
        <f>'8E(2)- 4%'!M39+'8E(2)- 9%'!M39</f>
        <v>2949.1895475000001</v>
      </c>
      <c r="N37" s="1899">
        <f>'8E(2)- 4%'!N39+'8E(2)- 9%'!N39</f>
        <v>3052.4111816625</v>
      </c>
      <c r="O37" s="1899">
        <f>'8E(2)- 4%'!O39+'8E(2)- 9%'!O39</f>
        <v>3159.2455730206875</v>
      </c>
      <c r="P37" s="1900">
        <f>'8E(2)- 4%'!P39+'8E(2)- 9%'!P39</f>
        <v>3269.8191680764112</v>
      </c>
      <c r="Q37" s="516"/>
    </row>
    <row r="38" spans="2:17" x14ac:dyDescent="0.25">
      <c r="B38" s="517"/>
      <c r="C38" s="551" t="s">
        <v>431</v>
      </c>
      <c r="D38" s="552"/>
      <c r="E38" s="553"/>
      <c r="F38" s="1897">
        <v>3.5000000000000003E-2</v>
      </c>
      <c r="G38" s="1347"/>
      <c r="H38" s="554"/>
      <c r="I38" s="467">
        <f>IFERROR(J38/'1B - 4%'!$L$23,"")</f>
        <v>498.75</v>
      </c>
      <c r="J38" s="1898">
        <f>'8E(2)- 4%'!J40+'8E(2)- 9%'!J40</f>
        <v>39900</v>
      </c>
      <c r="K38" s="1899">
        <f>'8E(2)- 4%'!K40+'8E(2)- 9%'!K40</f>
        <v>41296.5</v>
      </c>
      <c r="L38" s="1899">
        <f>'8E(2)- 4%'!L40+'8E(2)- 9%'!L40</f>
        <v>42741.877500000002</v>
      </c>
      <c r="M38" s="1899">
        <f>'8E(2)- 4%'!M40+'8E(2)- 9%'!M40</f>
        <v>44237.843212500004</v>
      </c>
      <c r="N38" s="1899">
        <f>'8E(2)- 4%'!N40+'8E(2)- 9%'!N40</f>
        <v>45786.167724937506</v>
      </c>
      <c r="O38" s="1899">
        <f>'8E(2)- 4%'!O40+'8E(2)- 9%'!O40</f>
        <v>47388.683595310322</v>
      </c>
      <c r="P38" s="1900">
        <f>'8E(2)- 4%'!P40+'8E(2)- 9%'!P40</f>
        <v>49047.28752114618</v>
      </c>
      <c r="Q38" s="516"/>
    </row>
    <row r="39" spans="2:17" x14ac:dyDescent="0.25">
      <c r="B39" s="517"/>
      <c r="C39" s="551" t="s">
        <v>432</v>
      </c>
      <c r="D39" s="552"/>
      <c r="E39" s="553"/>
      <c r="F39" s="1897">
        <v>3.5000000000000003E-2</v>
      </c>
      <c r="G39" s="1347"/>
      <c r="H39" s="554"/>
      <c r="I39" s="467">
        <f>IFERROR(J39/'1B - 4%'!$L$23,"")</f>
        <v>249.17500000000001</v>
      </c>
      <c r="J39" s="1898">
        <f>'8E(2)- 4%'!J41+'8E(2)- 9%'!J41</f>
        <v>19934</v>
      </c>
      <c r="K39" s="1899">
        <f>'8E(2)- 4%'!K41+'8E(2)- 9%'!K41</f>
        <v>20631.690000000002</v>
      </c>
      <c r="L39" s="1899">
        <f>'8E(2)- 4%'!L41+'8E(2)- 9%'!L41</f>
        <v>21353.799149999999</v>
      </c>
      <c r="M39" s="1899">
        <f>'8E(2)- 4%'!M41+'8E(2)- 9%'!M41</f>
        <v>22101.18212025</v>
      </c>
      <c r="N39" s="1899">
        <f>'8E(2)- 4%'!N41+'8E(2)- 9%'!N41</f>
        <v>22874.723494458751</v>
      </c>
      <c r="O39" s="1899">
        <f>'8E(2)- 4%'!O41+'8E(2)- 9%'!O41</f>
        <v>23675.338816764808</v>
      </c>
      <c r="P39" s="1900">
        <f>'8E(2)- 4%'!P41+'8E(2)- 9%'!P41</f>
        <v>24503.975675351576</v>
      </c>
      <c r="Q39" s="516"/>
    </row>
    <row r="40" spans="2:17" x14ac:dyDescent="0.25">
      <c r="B40" s="517"/>
      <c r="C40" s="551" t="s">
        <v>433</v>
      </c>
      <c r="D40" s="552"/>
      <c r="E40" s="553"/>
      <c r="F40" s="1897">
        <v>3.5000000000000003E-2</v>
      </c>
      <c r="G40" s="1347"/>
      <c r="H40" s="554"/>
      <c r="I40" s="467">
        <f>IFERROR(J40/'1B - 4%'!$L$23,"")</f>
        <v>15</v>
      </c>
      <c r="J40" s="1898">
        <f>'8E(2)- 4%'!J42+'8E(2)- 9%'!J42</f>
        <v>1200</v>
      </c>
      <c r="K40" s="1899">
        <f>'8E(2)- 4%'!K42+'8E(2)- 9%'!K42</f>
        <v>1242</v>
      </c>
      <c r="L40" s="1899">
        <f>'8E(2)- 4%'!L42+'8E(2)- 9%'!L42</f>
        <v>1285.47</v>
      </c>
      <c r="M40" s="1899">
        <f>'8E(2)- 4%'!M42+'8E(2)- 9%'!M42</f>
        <v>1330.46145</v>
      </c>
      <c r="N40" s="1899">
        <f>'8E(2)- 4%'!N42+'8E(2)- 9%'!N42</f>
        <v>1377.0276007499999</v>
      </c>
      <c r="O40" s="1899">
        <f>'8E(2)- 4%'!O42+'8E(2)- 9%'!O42</f>
        <v>1425.2235667762498</v>
      </c>
      <c r="P40" s="1900">
        <f>'8E(2)- 4%'!P42+'8E(2)- 9%'!P42</f>
        <v>1475.1063916134185</v>
      </c>
      <c r="Q40" s="516"/>
    </row>
    <row r="41" spans="2:17" x14ac:dyDescent="0.25">
      <c r="B41" s="517"/>
      <c r="C41" s="551" t="s">
        <v>434</v>
      </c>
      <c r="D41" s="553"/>
      <c r="E41" s="552"/>
      <c r="F41" s="1897">
        <v>3.5000000000000003E-2</v>
      </c>
      <c r="G41" s="1347"/>
      <c r="H41" s="554"/>
      <c r="I41" s="467">
        <f>IFERROR(J41/'1B - 4%'!$L$23,"")</f>
        <v>0</v>
      </c>
      <c r="J41" s="1898">
        <f>'8E(2)- 4%'!J43+'8E(2)- 9%'!J43</f>
        <v>0</v>
      </c>
      <c r="K41" s="1899">
        <f>'8E(2)- 4%'!K43+'8E(2)- 9%'!K43</f>
        <v>0</v>
      </c>
      <c r="L41" s="1899">
        <f>'8E(2)- 4%'!L43+'8E(2)- 9%'!L43</f>
        <v>0</v>
      </c>
      <c r="M41" s="1899">
        <f>'8E(2)- 4%'!M43+'8E(2)- 9%'!M43</f>
        <v>0</v>
      </c>
      <c r="N41" s="1899">
        <f>'8E(2)- 4%'!N43+'8E(2)- 9%'!N43</f>
        <v>0</v>
      </c>
      <c r="O41" s="1899">
        <f>'8E(2)- 4%'!O43+'8E(2)- 9%'!O43</f>
        <v>0</v>
      </c>
      <c r="P41" s="1900">
        <f>'8E(2)- 4%'!P43+'8E(2)- 9%'!P43</f>
        <v>0</v>
      </c>
      <c r="Q41" s="516"/>
    </row>
    <row r="42" spans="2:17" x14ac:dyDescent="0.25">
      <c r="B42" s="517"/>
      <c r="C42" s="551" t="s">
        <v>435</v>
      </c>
      <c r="D42" s="552"/>
      <c r="E42" s="553"/>
      <c r="F42" s="1897">
        <v>3.5000000000000003E-2</v>
      </c>
      <c r="G42" s="1347"/>
      <c r="H42" s="554"/>
      <c r="I42" s="467">
        <f>IFERROR(J42/'1B - 4%'!$L$23,"")</f>
        <v>149.625</v>
      </c>
      <c r="J42" s="1898">
        <f>'8E(2)- 4%'!J44+'8E(2)- 9%'!J44</f>
        <v>11970</v>
      </c>
      <c r="K42" s="1899">
        <f>'8E(2)- 4%'!K44+'8E(2)- 9%'!K44</f>
        <v>12388.95</v>
      </c>
      <c r="L42" s="1899">
        <f>'8E(2)- 4%'!L44+'8E(2)- 9%'!L44</f>
        <v>12822.563249999999</v>
      </c>
      <c r="M42" s="1899">
        <f>'8E(2)- 4%'!M44+'8E(2)- 9%'!M44</f>
        <v>13271.35296375</v>
      </c>
      <c r="N42" s="1899">
        <f>'8E(2)- 4%'!N44+'8E(2)- 9%'!N44</f>
        <v>13735.85031748125</v>
      </c>
      <c r="O42" s="1899">
        <f>'8E(2)- 4%'!O44+'8E(2)- 9%'!O44</f>
        <v>14216.605078593093</v>
      </c>
      <c r="P42" s="1900">
        <f>'8E(2)- 4%'!P44+'8E(2)- 9%'!P44</f>
        <v>14714.186256343852</v>
      </c>
      <c r="Q42" s="516"/>
    </row>
    <row r="43" spans="2:17" x14ac:dyDescent="0.25">
      <c r="B43" s="517"/>
      <c r="C43" s="551" t="s">
        <v>436</v>
      </c>
      <c r="D43" s="553"/>
      <c r="E43" s="553"/>
      <c r="F43" s="1897">
        <v>3.5000000000000003E-2</v>
      </c>
      <c r="G43" s="1347"/>
      <c r="H43" s="554"/>
      <c r="I43" s="467">
        <f>IFERROR(J43/'1B - 4%'!$L$23,"")</f>
        <v>332.5</v>
      </c>
      <c r="J43" s="1898">
        <f>'8E(2)- 4%'!J45+'8E(2)- 9%'!J45</f>
        <v>26600</v>
      </c>
      <c r="K43" s="1899">
        <f>'8E(2)- 4%'!K45+'8E(2)- 9%'!K45</f>
        <v>27531</v>
      </c>
      <c r="L43" s="1899">
        <f>'8E(2)- 4%'!L45+'8E(2)- 9%'!L45</f>
        <v>28494.584999999999</v>
      </c>
      <c r="M43" s="1899">
        <f>'8E(2)- 4%'!M45+'8E(2)- 9%'!M45</f>
        <v>29491.895474999998</v>
      </c>
      <c r="N43" s="1899">
        <f>'8E(2)- 4%'!N45+'8E(2)- 9%'!N45</f>
        <v>30524.111816624998</v>
      </c>
      <c r="O43" s="1899">
        <f>'8E(2)- 4%'!O45+'8E(2)- 9%'!O45</f>
        <v>31592.455730206872</v>
      </c>
      <c r="P43" s="1900">
        <f>'8E(2)- 4%'!P45+'8E(2)- 9%'!P45</f>
        <v>32698.191680764114</v>
      </c>
      <c r="Q43" s="516"/>
    </row>
    <row r="44" spans="2:17" x14ac:dyDescent="0.25">
      <c r="B44" s="517"/>
      <c r="C44" s="551" t="s">
        <v>437</v>
      </c>
      <c r="D44" s="552"/>
      <c r="E44" s="553"/>
      <c r="F44" s="1897">
        <v>3.5000000000000003E-2</v>
      </c>
      <c r="G44" s="1347"/>
      <c r="H44" s="554"/>
      <c r="I44" s="467">
        <f>IFERROR(J44/'1B - 4%'!$L$23,"")</f>
        <v>139.65</v>
      </c>
      <c r="J44" s="1898">
        <f>'8E(2)- 4%'!J46+'8E(2)- 9%'!J46</f>
        <v>11172</v>
      </c>
      <c r="K44" s="1899">
        <f>'8E(2)- 4%'!K46+'8E(2)- 9%'!K46</f>
        <v>11563.02</v>
      </c>
      <c r="L44" s="1899">
        <f>'8E(2)- 4%'!L46+'8E(2)- 9%'!L46</f>
        <v>11967.725699999999</v>
      </c>
      <c r="M44" s="1899">
        <f>'8E(2)- 4%'!M46+'8E(2)- 9%'!M46</f>
        <v>12386.596099499999</v>
      </c>
      <c r="N44" s="1899">
        <f>'8E(2)- 4%'!N46+'8E(2)- 9%'!N46</f>
        <v>12820.1269629825</v>
      </c>
      <c r="O44" s="1899">
        <f>'8E(2)- 4%'!O46+'8E(2)- 9%'!O46</f>
        <v>13268.831406686888</v>
      </c>
      <c r="P44" s="1900">
        <f>'8E(2)- 4%'!P46+'8E(2)- 9%'!P46</f>
        <v>13733.240505920929</v>
      </c>
      <c r="Q44" s="516"/>
    </row>
    <row r="45" spans="2:17" x14ac:dyDescent="0.25">
      <c r="B45" s="517"/>
      <c r="C45" s="551" t="s">
        <v>438</v>
      </c>
      <c r="D45" s="553"/>
      <c r="E45" s="553"/>
      <c r="F45" s="1897">
        <v>3.5000000000000003E-2</v>
      </c>
      <c r="G45" s="1347"/>
      <c r="H45" s="554"/>
      <c r="I45" s="467">
        <f>IFERROR(J45/'1B - 4%'!$L$23,"")</f>
        <v>83.125</v>
      </c>
      <c r="J45" s="1898">
        <f>'8E(2)- 4%'!J47+'8E(2)- 9%'!J47</f>
        <v>6650</v>
      </c>
      <c r="K45" s="1899">
        <f>'8E(2)- 4%'!K47+'8E(2)- 9%'!K47</f>
        <v>6882.75</v>
      </c>
      <c r="L45" s="1899">
        <f>'8E(2)- 4%'!L47+'8E(2)- 9%'!L47</f>
        <v>7123.6462499999998</v>
      </c>
      <c r="M45" s="1899">
        <f>'8E(2)- 4%'!M47+'8E(2)- 9%'!M47</f>
        <v>7372.9738687499994</v>
      </c>
      <c r="N45" s="1899">
        <f>'8E(2)- 4%'!N47+'8E(2)- 9%'!N47</f>
        <v>7631.0279541562495</v>
      </c>
      <c r="O45" s="1899">
        <f>'8E(2)- 4%'!O47+'8E(2)- 9%'!O47</f>
        <v>7898.1139325517179</v>
      </c>
      <c r="P45" s="1900">
        <f>'8E(2)- 4%'!P47+'8E(2)- 9%'!P47</f>
        <v>8174.5479201910284</v>
      </c>
      <c r="Q45" s="516"/>
    </row>
    <row r="46" spans="2:17" x14ac:dyDescent="0.25">
      <c r="B46" s="517"/>
      <c r="C46" s="551" t="s">
        <v>439</v>
      </c>
      <c r="D46" s="553"/>
      <c r="E46" s="553"/>
      <c r="F46" s="1897">
        <v>3.5000000000000003E-2</v>
      </c>
      <c r="G46" s="1347"/>
      <c r="H46" s="554"/>
      <c r="I46" s="467">
        <f>IFERROR(J46/'1B - 4%'!$L$23,"")</f>
        <v>166.25</v>
      </c>
      <c r="J46" s="1898">
        <f>'8E(2)- 4%'!J48+'8E(2)- 9%'!J48</f>
        <v>13300</v>
      </c>
      <c r="K46" s="1899">
        <f>'8E(2)- 4%'!K48+'8E(2)- 9%'!K48</f>
        <v>13765.5</v>
      </c>
      <c r="L46" s="1899">
        <f>'8E(2)- 4%'!L48+'8E(2)- 9%'!L48</f>
        <v>14247.2925</v>
      </c>
      <c r="M46" s="1899">
        <f>'8E(2)- 4%'!M48+'8E(2)- 9%'!M48</f>
        <v>14745.947737499999</v>
      </c>
      <c r="N46" s="1899">
        <f>'8E(2)- 4%'!N48+'8E(2)- 9%'!N48</f>
        <v>15262.055908312499</v>
      </c>
      <c r="O46" s="1899">
        <f>'8E(2)- 4%'!O48+'8E(2)- 9%'!O48</f>
        <v>15796.227865103436</v>
      </c>
      <c r="P46" s="1900">
        <f>'8E(2)- 4%'!P48+'8E(2)- 9%'!P48</f>
        <v>16349.095840382057</v>
      </c>
      <c r="Q46" s="516"/>
    </row>
    <row r="47" spans="2:17" x14ac:dyDescent="0.25">
      <c r="B47" s="517"/>
      <c r="C47" s="551" t="s">
        <v>440</v>
      </c>
      <c r="D47" s="553"/>
      <c r="E47" s="553"/>
      <c r="F47" s="1897">
        <v>3.5000000000000003E-2</v>
      </c>
      <c r="G47" s="1347"/>
      <c r="H47" s="554"/>
      <c r="I47" s="467">
        <f>IFERROR(J47/'1B - 4%'!$L$23,"")</f>
        <v>83.125</v>
      </c>
      <c r="J47" s="1898">
        <f>'8E(2)- 4%'!J49+'8E(2)- 9%'!J49</f>
        <v>6650</v>
      </c>
      <c r="K47" s="1899">
        <f>'8E(2)- 4%'!K49+'8E(2)- 9%'!K49</f>
        <v>6882.75</v>
      </c>
      <c r="L47" s="1899">
        <f>'8E(2)- 4%'!L49+'8E(2)- 9%'!L49</f>
        <v>7123.6462499999998</v>
      </c>
      <c r="M47" s="1899">
        <f>'8E(2)- 4%'!M49+'8E(2)- 9%'!M49</f>
        <v>7372.9738687499994</v>
      </c>
      <c r="N47" s="1899">
        <f>'8E(2)- 4%'!N49+'8E(2)- 9%'!N49</f>
        <v>7631.0279541562495</v>
      </c>
      <c r="O47" s="1899">
        <f>'8E(2)- 4%'!O49+'8E(2)- 9%'!O49</f>
        <v>7898.1139325517179</v>
      </c>
      <c r="P47" s="1900">
        <f>'8E(2)- 4%'!P49+'8E(2)- 9%'!P49</f>
        <v>8174.5479201910284</v>
      </c>
      <c r="Q47" s="516"/>
    </row>
    <row r="48" spans="2:17" x14ac:dyDescent="0.25">
      <c r="B48" s="517"/>
      <c r="C48" s="551" t="s">
        <v>441</v>
      </c>
      <c r="D48" s="553"/>
      <c r="E48" s="553"/>
      <c r="F48" s="1897">
        <v>3.5000000000000003E-2</v>
      </c>
      <c r="G48" s="1347"/>
      <c r="H48" s="554"/>
      <c r="I48" s="467">
        <f>IFERROR(J48/'1B - 4%'!$L$23,"")</f>
        <v>88.112499999999997</v>
      </c>
      <c r="J48" s="1898">
        <f>'8E(2)- 4%'!J50+'8E(2)- 9%'!J50</f>
        <v>7049</v>
      </c>
      <c r="K48" s="1899">
        <f>'8E(2)- 4%'!K50+'8E(2)- 9%'!K50</f>
        <v>7295.7150000000001</v>
      </c>
      <c r="L48" s="1899">
        <f>'8E(2)- 4%'!L50+'8E(2)- 9%'!L50</f>
        <v>7551.0650249999999</v>
      </c>
      <c r="M48" s="1899">
        <f>'8E(2)- 4%'!M50+'8E(2)- 9%'!M50</f>
        <v>7815.3523008749999</v>
      </c>
      <c r="N48" s="1899">
        <f>'8E(2)- 4%'!N50+'8E(2)- 9%'!N50</f>
        <v>8088.8896314056256</v>
      </c>
      <c r="O48" s="1899">
        <f>'8E(2)- 4%'!O50+'8E(2)- 9%'!O50</f>
        <v>8372.0007685048222</v>
      </c>
      <c r="P48" s="1900">
        <f>'8E(2)- 4%'!P50+'8E(2)- 9%'!P50</f>
        <v>8665.02079540249</v>
      </c>
      <c r="Q48" s="516"/>
    </row>
    <row r="49" spans="2:17" x14ac:dyDescent="0.25">
      <c r="B49" s="517"/>
      <c r="C49" s="551" t="s">
        <v>442</v>
      </c>
      <c r="D49" s="552"/>
      <c r="E49" s="553"/>
      <c r="F49" s="1897">
        <v>3.5000000000000003E-2</v>
      </c>
      <c r="G49" s="1347"/>
      <c r="H49" s="554"/>
      <c r="I49" s="467">
        <f>IFERROR(J49/'1B - 4%'!$L$23,"")</f>
        <v>1055.6875</v>
      </c>
      <c r="J49" s="1898">
        <f>'8E(2)- 4%'!J51+'8E(2)- 9%'!J51</f>
        <v>84455</v>
      </c>
      <c r="K49" s="1899">
        <f>'8E(2)- 4%'!K51+'8E(2)- 9%'!K51</f>
        <v>87833.2</v>
      </c>
      <c r="L49" s="1899">
        <f>'8E(2)- 4%'!L51+'8E(2)- 9%'!L51</f>
        <v>91346.527999999991</v>
      </c>
      <c r="M49" s="1899">
        <f>'8E(2)- 4%'!M51+'8E(2)- 9%'!M51</f>
        <v>95000.389119999993</v>
      </c>
      <c r="N49" s="1899">
        <f>'8E(2)- 4%'!N51+'8E(2)- 9%'!N51</f>
        <v>98800.404684799985</v>
      </c>
      <c r="O49" s="1899">
        <f>'8E(2)- 4%'!O51+'8E(2)- 9%'!O51</f>
        <v>102752.42087219199</v>
      </c>
      <c r="P49" s="1900">
        <f>'8E(2)- 4%'!P51+'8E(2)- 9%'!P51</f>
        <v>106862.51770707968</v>
      </c>
      <c r="Q49" s="516"/>
    </row>
    <row r="50" spans="2:17" x14ac:dyDescent="0.25">
      <c r="B50" s="517"/>
      <c r="C50" s="551" t="s">
        <v>443</v>
      </c>
      <c r="D50" s="552"/>
      <c r="E50" s="553"/>
      <c r="F50" s="1897">
        <v>3.5000000000000003E-2</v>
      </c>
      <c r="G50" s="1347"/>
      <c r="H50" s="554"/>
      <c r="I50" s="467">
        <f>IFERROR(J50/'1B - 4%'!$L$23,"")</f>
        <v>232.75</v>
      </c>
      <c r="J50" s="1898">
        <f>'8E(2)- 4%'!J52+'8E(2)- 9%'!J52</f>
        <v>18620</v>
      </c>
      <c r="K50" s="1899">
        <f>'8E(2)- 4%'!K52+'8E(2)- 9%'!K52</f>
        <v>19271.7</v>
      </c>
      <c r="L50" s="1899">
        <f>'8E(2)- 4%'!L52+'8E(2)- 9%'!L52</f>
        <v>19946.209499999997</v>
      </c>
      <c r="M50" s="1899">
        <f>'8E(2)- 4%'!M52+'8E(2)- 9%'!M52</f>
        <v>20644.326832499999</v>
      </c>
      <c r="N50" s="1899">
        <f>'8E(2)- 4%'!N52+'8E(2)- 9%'!N52</f>
        <v>21366.878271637499</v>
      </c>
      <c r="O50" s="1899">
        <f>'8E(2)- 4%'!O52+'8E(2)- 9%'!O52</f>
        <v>22114.719011144811</v>
      </c>
      <c r="P50" s="1900">
        <f>'8E(2)- 4%'!P52+'8E(2)- 9%'!P52</f>
        <v>22888.734176534879</v>
      </c>
      <c r="Q50" s="516"/>
    </row>
    <row r="51" spans="2:17" x14ac:dyDescent="0.25">
      <c r="B51" s="558"/>
      <c r="C51" s="551" t="s">
        <v>444</v>
      </c>
      <c r="D51" s="552"/>
      <c r="E51" s="553"/>
      <c r="F51" s="1897">
        <v>3.5000000000000003E-2</v>
      </c>
      <c r="G51" s="1347"/>
      <c r="H51" s="554"/>
      <c r="I51" s="467">
        <f>IFERROR(J51/'1B - 4%'!$L$23,"")</f>
        <v>133</v>
      </c>
      <c r="J51" s="1898">
        <f>'8E(2)- 4%'!J53+'8E(2)- 9%'!J53</f>
        <v>10640</v>
      </c>
      <c r="K51" s="1899">
        <f>'8E(2)- 4%'!K53+'8E(2)- 9%'!K53</f>
        <v>11012.4</v>
      </c>
      <c r="L51" s="1899">
        <f>'8E(2)- 4%'!L53+'8E(2)- 9%'!L53</f>
        <v>11397.833999999999</v>
      </c>
      <c r="M51" s="1899">
        <f>'8E(2)- 4%'!M53+'8E(2)- 9%'!M53</f>
        <v>11796.75819</v>
      </c>
      <c r="N51" s="1899">
        <f>'8E(2)- 4%'!N53+'8E(2)- 9%'!N53</f>
        <v>12209.64472665</v>
      </c>
      <c r="O51" s="1899">
        <f>'8E(2)- 4%'!O53+'8E(2)- 9%'!O53</f>
        <v>12636.98229208275</v>
      </c>
      <c r="P51" s="1900">
        <f>'8E(2)- 4%'!P53+'8E(2)- 9%'!P53</f>
        <v>13079.276672305645</v>
      </c>
      <c r="Q51" s="559"/>
    </row>
    <row r="52" spans="2:17" x14ac:dyDescent="0.25">
      <c r="B52" s="517"/>
      <c r="C52" s="551" t="s">
        <v>445</v>
      </c>
      <c r="D52" s="553"/>
      <c r="E52" s="553"/>
      <c r="F52" s="1897">
        <v>3.5000000000000003E-2</v>
      </c>
      <c r="G52" s="1347"/>
      <c r="H52" s="554"/>
      <c r="I52" s="467">
        <f>IFERROR(J52/'1B - 4%'!$L$23,"")</f>
        <v>207.8125</v>
      </c>
      <c r="J52" s="1898">
        <f>'8E(2)- 4%'!J54+'8E(2)- 9%'!J54</f>
        <v>16625</v>
      </c>
      <c r="K52" s="1899">
        <f>'8E(2)- 4%'!K54+'8E(2)- 9%'!K54</f>
        <v>17206.875</v>
      </c>
      <c r="L52" s="1899">
        <f>'8E(2)- 4%'!L54+'8E(2)- 9%'!L54</f>
        <v>17809.115624999999</v>
      </c>
      <c r="M52" s="1899">
        <f>'8E(2)- 4%'!M54+'8E(2)- 9%'!M54</f>
        <v>18432.434671874998</v>
      </c>
      <c r="N52" s="1899">
        <f>'8E(2)- 4%'!N54+'8E(2)- 9%'!N54</f>
        <v>19077.569885390625</v>
      </c>
      <c r="O52" s="1899">
        <f>'8E(2)- 4%'!O54+'8E(2)- 9%'!O54</f>
        <v>19745.284831379297</v>
      </c>
      <c r="P52" s="1900">
        <f>'8E(2)- 4%'!P54+'8E(2)- 9%'!P54</f>
        <v>20436.369800477572</v>
      </c>
      <c r="Q52" s="516"/>
    </row>
    <row r="53" spans="2:17" x14ac:dyDescent="0.25">
      <c r="B53" s="517"/>
      <c r="C53" s="551" t="s">
        <v>446</v>
      </c>
      <c r="D53" s="553"/>
      <c r="E53" s="553"/>
      <c r="F53" s="1897">
        <v>3.5000000000000003E-2</v>
      </c>
      <c r="G53" s="1347"/>
      <c r="H53" s="554"/>
      <c r="I53" s="467">
        <f>IFERROR(J53/'1B - 4%'!$L$23,"")</f>
        <v>56.25</v>
      </c>
      <c r="J53" s="1898">
        <f>'8E(2)- 4%'!J55+'8E(2)- 9%'!J55</f>
        <v>4500</v>
      </c>
      <c r="K53" s="1899">
        <f>'8E(2)- 4%'!K55+'8E(2)- 9%'!K55</f>
        <v>4657.5</v>
      </c>
      <c r="L53" s="1899">
        <f>'8E(2)- 4%'!L55+'8E(2)- 9%'!L55</f>
        <v>4820.5124999999998</v>
      </c>
      <c r="M53" s="1899">
        <f>'8E(2)- 4%'!M55+'8E(2)- 9%'!M55</f>
        <v>4989.2304375000003</v>
      </c>
      <c r="N53" s="1899">
        <f>'8E(2)- 4%'!N55+'8E(2)- 9%'!N55</f>
        <v>5163.8535028125007</v>
      </c>
      <c r="O53" s="1899">
        <f>'8E(2)- 4%'!O55+'8E(2)- 9%'!O55</f>
        <v>5344.5883754109382</v>
      </c>
      <c r="P53" s="1900">
        <f>'8E(2)- 4%'!P55+'8E(2)- 9%'!P55</f>
        <v>5531.6489685503202</v>
      </c>
      <c r="Q53" s="516"/>
    </row>
    <row r="54" spans="2:17" ht="15.75" thickBot="1" x14ac:dyDescent="0.3">
      <c r="B54" s="517"/>
      <c r="C54" s="560" t="s">
        <v>247</v>
      </c>
      <c r="D54" s="561"/>
      <c r="E54" s="562"/>
      <c r="F54" s="1901">
        <v>3.5000000000000003E-2</v>
      </c>
      <c r="G54" s="1347"/>
      <c r="H54" s="554"/>
      <c r="I54" s="468">
        <f>IFERROR(J54/'1B - 4%'!$L$23,"")</f>
        <v>1158.9375</v>
      </c>
      <c r="J54" s="1902">
        <f>'8E(2)- 4%'!J56+'8E(2)- 9%'!J56</f>
        <v>92715</v>
      </c>
      <c r="K54" s="1903">
        <f>'8E(2)- 4%'!K56+'8E(2)- 9%'!K56</f>
        <v>95960.024999999994</v>
      </c>
      <c r="L54" s="1903">
        <f>'8E(2)- 4%'!L56+'8E(2)- 9%'!L56</f>
        <v>99318.625874999998</v>
      </c>
      <c r="M54" s="1903">
        <f>'8E(2)- 4%'!M56+'8E(2)- 9%'!M56</f>
        <v>102794.77778062501</v>
      </c>
      <c r="N54" s="1903">
        <f>'8E(2)- 4%'!N56+'8E(2)- 9%'!N56</f>
        <v>106392.59500294688</v>
      </c>
      <c r="O54" s="1903">
        <f>'8E(2)- 4%'!O56+'8E(2)- 9%'!O56</f>
        <v>110116.33582805001</v>
      </c>
      <c r="P54" s="1904">
        <f>'8E(2)- 4%'!P56+'8E(2)- 9%'!P56</f>
        <v>113970.40758203177</v>
      </c>
      <c r="Q54" s="516"/>
    </row>
    <row r="55" spans="2:17" ht="15.75" thickBot="1" x14ac:dyDescent="0.3">
      <c r="B55" s="517"/>
      <c r="C55" s="475" t="s">
        <v>447</v>
      </c>
      <c r="D55" s="532"/>
      <c r="E55" s="515"/>
      <c r="F55" s="533"/>
      <c r="G55" s="533"/>
      <c r="H55" s="515"/>
      <c r="I55" s="468">
        <f>IFERROR(J55/'1B - 4%'!$L$23,"")</f>
        <v>8069.4956250000005</v>
      </c>
      <c r="J55" s="469">
        <f>SUM(J34:J54)</f>
        <v>645559.65</v>
      </c>
      <c r="K55" s="470">
        <f t="shared" ref="K55:P55" si="5">SUM(K34:K54)</f>
        <v>667635.18275000004</v>
      </c>
      <c r="L55" s="470">
        <f t="shared" si="5"/>
        <v>690476.71689624991</v>
      </c>
      <c r="M55" s="470">
        <f t="shared" si="5"/>
        <v>714111.14979636879</v>
      </c>
      <c r="N55" s="470">
        <f t="shared" si="5"/>
        <v>738566.3325328104</v>
      </c>
      <c r="O55" s="470">
        <f t="shared" si="5"/>
        <v>763871.10400655074</v>
      </c>
      <c r="P55" s="471">
        <f t="shared" si="5"/>
        <v>790055.32625810069</v>
      </c>
      <c r="Q55" s="516"/>
    </row>
    <row r="56" spans="2:17" ht="15.75" thickBot="1" x14ac:dyDescent="0.3">
      <c r="B56" s="517"/>
      <c r="C56" s="475"/>
      <c r="D56" s="532"/>
      <c r="E56" s="515"/>
      <c r="F56" s="541" t="s">
        <v>412</v>
      </c>
      <c r="G56" s="542"/>
      <c r="H56" s="518"/>
      <c r="I56" s="518"/>
      <c r="J56" s="472"/>
      <c r="K56" s="473"/>
      <c r="L56" s="473"/>
      <c r="M56" s="473"/>
      <c r="N56" s="473"/>
      <c r="O56" s="473"/>
      <c r="P56" s="474"/>
      <c r="Q56" s="516"/>
    </row>
    <row r="57" spans="2:17" x14ac:dyDescent="0.25">
      <c r="B57" s="550"/>
      <c r="C57" s="566" t="s">
        <v>448</v>
      </c>
      <c r="D57" s="567"/>
      <c r="E57" s="546"/>
      <c r="F57" s="1879">
        <v>3.5000000000000003E-2</v>
      </c>
      <c r="G57" s="1348"/>
      <c r="H57" s="546"/>
      <c r="I57" s="466">
        <f>IFERROR(J57/'1B - 4%'!$L$23,"")</f>
        <v>581.875</v>
      </c>
      <c r="J57" s="1905">
        <f>'8E(2)- 4%'!J59+'8E(2)- 9%'!J59</f>
        <v>46550</v>
      </c>
      <c r="K57" s="1899">
        <f>'8E(2)- 4%'!K59+'8E(2)- 9%'!K59</f>
        <v>48179.25</v>
      </c>
      <c r="L57" s="1899">
        <f>'8E(2)- 4%'!L59+'8E(2)- 9%'!L59</f>
        <v>49865.52375</v>
      </c>
      <c r="M57" s="1899">
        <f>'8E(2)- 4%'!M59+'8E(2)- 9%'!M59</f>
        <v>51610.817081250003</v>
      </c>
      <c r="N57" s="1899">
        <f>'8E(2)- 4%'!N59+'8E(2)- 9%'!N59</f>
        <v>53417.195679093755</v>
      </c>
      <c r="O57" s="1899">
        <f>'8E(2)- 4%'!O59+'8E(2)- 9%'!O59</f>
        <v>55286.797527862036</v>
      </c>
      <c r="P57" s="1900">
        <f>'8E(2)- 4%'!P59+'8E(2)- 9%'!P59</f>
        <v>57221.835441337207</v>
      </c>
      <c r="Q57" s="516"/>
    </row>
    <row r="58" spans="2:17" ht="15.75" thickBot="1" x14ac:dyDescent="0.3">
      <c r="B58" s="550"/>
      <c r="C58" s="569" t="s">
        <v>449</v>
      </c>
      <c r="D58" s="561"/>
      <c r="E58" s="562"/>
      <c r="F58" s="1906">
        <v>3.5000000000000003E-2</v>
      </c>
      <c r="G58" s="1347"/>
      <c r="H58" s="554"/>
      <c r="I58" s="468">
        <f>IFERROR(J58/'1B - 4%'!$L$23,"")</f>
        <v>0</v>
      </c>
      <c r="J58" s="1907">
        <f>'8E(2)- 4%'!J60+'8E(2)- 9%'!J60</f>
        <v>0</v>
      </c>
      <c r="K58" s="1903">
        <f>'8E(2)- 4%'!K60+'8E(2)- 9%'!K60</f>
        <v>0</v>
      </c>
      <c r="L58" s="1903">
        <f>'8E(2)- 4%'!L60+'8E(2)- 9%'!L60</f>
        <v>0</v>
      </c>
      <c r="M58" s="1903">
        <f>'8E(2)- 4%'!M60+'8E(2)- 9%'!M60</f>
        <v>0</v>
      </c>
      <c r="N58" s="1903">
        <f>'8E(2)- 4%'!N60+'8E(2)- 9%'!N60</f>
        <v>0</v>
      </c>
      <c r="O58" s="1903">
        <f>'8E(2)- 4%'!O60+'8E(2)- 9%'!O60</f>
        <v>0</v>
      </c>
      <c r="P58" s="1904">
        <f>'8E(2)- 4%'!P60+'8E(2)- 9%'!P60</f>
        <v>0</v>
      </c>
      <c r="Q58" s="516"/>
    </row>
    <row r="59" spans="2:17" x14ac:dyDescent="0.25">
      <c r="B59" s="550"/>
      <c r="C59" s="475" t="s">
        <v>450</v>
      </c>
      <c r="D59" s="532"/>
      <c r="E59" s="532"/>
      <c r="F59" s="532"/>
      <c r="G59" s="532"/>
      <c r="H59" s="515"/>
      <c r="I59" s="570">
        <f>IFERROR(J59/'1B - 4%'!$L$23,"")</f>
        <v>581.875</v>
      </c>
      <c r="J59" s="469">
        <f>SUM(J57:J58)</f>
        <v>46550</v>
      </c>
      <c r="K59" s="470">
        <f t="shared" ref="K59:P59" si="6">SUM(K57:K58)</f>
        <v>48179.25</v>
      </c>
      <c r="L59" s="470">
        <f t="shared" si="6"/>
        <v>49865.52375</v>
      </c>
      <c r="M59" s="470">
        <f t="shared" si="6"/>
        <v>51610.817081250003</v>
      </c>
      <c r="N59" s="470">
        <f t="shared" si="6"/>
        <v>53417.195679093755</v>
      </c>
      <c r="O59" s="470">
        <f t="shared" si="6"/>
        <v>55286.797527862036</v>
      </c>
      <c r="P59" s="471">
        <f t="shared" si="6"/>
        <v>57221.835441337207</v>
      </c>
      <c r="Q59" s="516"/>
    </row>
    <row r="60" spans="2:17" ht="7.5" customHeight="1" thickBot="1" x14ac:dyDescent="0.3">
      <c r="B60" s="550"/>
      <c r="C60" s="475"/>
      <c r="D60" s="532"/>
      <c r="E60" s="532"/>
      <c r="F60" s="532"/>
      <c r="G60" s="532"/>
      <c r="H60" s="515"/>
      <c r="I60" s="570"/>
      <c r="J60" s="472"/>
      <c r="K60" s="473"/>
      <c r="L60" s="473"/>
      <c r="M60" s="473"/>
      <c r="N60" s="473"/>
      <c r="O60" s="473"/>
      <c r="P60" s="474"/>
      <c r="Q60" s="516"/>
    </row>
    <row r="61" spans="2:17" ht="15.75" thickBot="1" x14ac:dyDescent="0.3">
      <c r="B61" s="517"/>
      <c r="C61" s="475" t="s">
        <v>451</v>
      </c>
      <c r="D61" s="532"/>
      <c r="E61" s="339"/>
      <c r="F61" s="1908">
        <v>3.5000000000000003E-2</v>
      </c>
      <c r="G61" s="1349"/>
      <c r="H61" s="546"/>
      <c r="I61" s="1378">
        <f>IFERROR(J61/'1B - 4%'!$L$23,"")</f>
        <v>0</v>
      </c>
      <c r="J61" s="1909">
        <f>'8E(2)- 4%'!J63+'8E(2)- 9%'!J63</f>
        <v>0</v>
      </c>
      <c r="K61" s="1910">
        <f>'8E(2)- 4%'!K63+'8E(2)- 9%'!K63</f>
        <v>0</v>
      </c>
      <c r="L61" s="1910">
        <f>'8E(2)- 4%'!L63+'8E(2)- 9%'!L63</f>
        <v>0</v>
      </c>
      <c r="M61" s="1910">
        <f>'8E(2)- 4%'!M63+'8E(2)- 9%'!M63</f>
        <v>0</v>
      </c>
      <c r="N61" s="1910">
        <f>'8E(2)- 4%'!N63+'8E(2)- 9%'!N63</f>
        <v>0</v>
      </c>
      <c r="O61" s="1910">
        <f>'8E(2)- 4%'!O63+'8E(2)- 9%'!O63</f>
        <v>0</v>
      </c>
      <c r="P61" s="1911">
        <f>'8E(2)- 4%'!P63+'8E(2)- 9%'!P63</f>
        <v>0</v>
      </c>
      <c r="Q61" s="516"/>
    </row>
    <row r="62" spans="2:17" ht="7.5" customHeight="1" thickBot="1" x14ac:dyDescent="0.3">
      <c r="B62" s="517"/>
      <c r="C62" s="475"/>
      <c r="D62" s="532"/>
      <c r="E62" s="339"/>
      <c r="F62" s="532"/>
      <c r="G62" s="532"/>
      <c r="H62" s="515"/>
      <c r="I62" s="570"/>
      <c r="J62" s="472"/>
      <c r="K62" s="473"/>
      <c r="L62" s="473"/>
      <c r="M62" s="473"/>
      <c r="N62" s="473"/>
      <c r="O62" s="473"/>
      <c r="P62" s="474"/>
      <c r="Q62" s="516"/>
    </row>
    <row r="63" spans="2:17" ht="15.75" thickBot="1" x14ac:dyDescent="0.3">
      <c r="B63" s="517"/>
      <c r="C63" s="573" t="s">
        <v>452</v>
      </c>
      <c r="D63" s="535"/>
      <c r="E63" s="535"/>
      <c r="F63" s="1912">
        <v>0</v>
      </c>
      <c r="G63" s="1350"/>
      <c r="H63" s="574"/>
      <c r="I63" s="535"/>
      <c r="J63" s="1913">
        <f>'8E(2)- 4%'!J65+'8E(2)- 9%'!J65</f>
        <v>0</v>
      </c>
      <c r="K63" s="1914">
        <f>'8E(2)- 4%'!K65+'8E(2)- 9%'!K65</f>
        <v>0</v>
      </c>
      <c r="L63" s="1914">
        <f>'8E(2)- 4%'!L65+'8E(2)- 9%'!L65</f>
        <v>0</v>
      </c>
      <c r="M63" s="1914">
        <f>'8E(2)- 4%'!M65+'8E(2)- 9%'!M65</f>
        <v>0</v>
      </c>
      <c r="N63" s="1914">
        <f>'8E(2)- 4%'!N65+'8E(2)- 9%'!N65</f>
        <v>0</v>
      </c>
      <c r="O63" s="1914">
        <f>'8E(2)- 4%'!O65+'8E(2)- 9%'!O65</f>
        <v>0</v>
      </c>
      <c r="P63" s="1915">
        <f>'8E(2)- 4%'!P65+'8E(2)- 9%'!P65</f>
        <v>0</v>
      </c>
      <c r="Q63" s="516"/>
    </row>
    <row r="64" spans="2:17" ht="16.5" thickTop="1" thickBot="1" x14ac:dyDescent="0.3">
      <c r="B64" s="517"/>
      <c r="C64" s="540" t="s">
        <v>453</v>
      </c>
      <c r="D64" s="532"/>
      <c r="E64" s="515"/>
      <c r="F64" s="532"/>
      <c r="G64" s="532"/>
      <c r="H64" s="575"/>
      <c r="I64" s="533" t="s">
        <v>416</v>
      </c>
      <c r="J64" s="476">
        <f>J55+J59+J61+J63</f>
        <v>692109.65</v>
      </c>
      <c r="K64" s="477">
        <f t="shared" ref="K64:P64" si="7">K55+K59+K61+K63</f>
        <v>715814.43275000004</v>
      </c>
      <c r="L64" s="477">
        <f t="shared" si="7"/>
        <v>740342.24064624996</v>
      </c>
      <c r="M64" s="477">
        <f t="shared" si="7"/>
        <v>765721.9668776188</v>
      </c>
      <c r="N64" s="477">
        <f t="shared" si="7"/>
        <v>791983.52821190411</v>
      </c>
      <c r="O64" s="477">
        <f t="shared" si="7"/>
        <v>819157.90153441275</v>
      </c>
      <c r="P64" s="478">
        <f t="shared" si="7"/>
        <v>847277.16169943789</v>
      </c>
      <c r="Q64" s="516"/>
    </row>
    <row r="65" spans="2:17" ht="7.5" customHeight="1" thickBot="1" x14ac:dyDescent="0.3">
      <c r="B65" s="517"/>
      <c r="C65" s="532"/>
      <c r="D65" s="532"/>
      <c r="E65" s="532"/>
      <c r="F65" s="532"/>
      <c r="G65" s="532"/>
      <c r="H65" s="532"/>
      <c r="I65" s="532"/>
      <c r="J65" s="576"/>
      <c r="K65" s="576"/>
      <c r="L65" s="576"/>
      <c r="M65" s="576"/>
      <c r="N65" s="576"/>
      <c r="O65" s="576"/>
      <c r="P65" s="576"/>
      <c r="Q65" s="516"/>
    </row>
    <row r="66" spans="2:17" ht="15.75" thickBot="1" x14ac:dyDescent="0.3">
      <c r="B66" s="517"/>
      <c r="C66" s="540" t="s">
        <v>454</v>
      </c>
      <c r="D66" s="532"/>
      <c r="E66" s="532"/>
      <c r="F66" s="532"/>
      <c r="G66" s="532"/>
      <c r="H66" s="532"/>
      <c r="I66" s="533" t="s">
        <v>416</v>
      </c>
      <c r="J66" s="479">
        <f>J30-J64</f>
        <v>648927.45000000007</v>
      </c>
      <c r="K66" s="480">
        <f t="shared" ref="K66:P66" si="8">K30-K64</f>
        <v>658076.70724999986</v>
      </c>
      <c r="L66" s="480">
        <f t="shared" si="8"/>
        <v>667224.29035375</v>
      </c>
      <c r="M66" s="480">
        <f t="shared" si="8"/>
        <v>676361.83989738091</v>
      </c>
      <c r="N66" s="480">
        <f t="shared" si="8"/>
        <v>685480.48623247107</v>
      </c>
      <c r="O66" s="480">
        <f t="shared" si="8"/>
        <v>694570.82577107172</v>
      </c>
      <c r="P66" s="481">
        <f t="shared" si="8"/>
        <v>703622.89628868375</v>
      </c>
      <c r="Q66" s="516"/>
    </row>
    <row r="67" spans="2:17" x14ac:dyDescent="0.25">
      <c r="B67" s="517"/>
      <c r="C67" s="540"/>
      <c r="D67" s="532"/>
      <c r="E67" s="532"/>
      <c r="F67" s="532"/>
      <c r="G67" s="532"/>
      <c r="H67" s="532"/>
      <c r="I67" s="533"/>
      <c r="J67" s="570"/>
      <c r="K67" s="570"/>
      <c r="L67" s="570"/>
      <c r="M67" s="570"/>
      <c r="N67" s="570"/>
      <c r="O67" s="570"/>
      <c r="P67" s="570"/>
      <c r="Q67" s="516"/>
    </row>
    <row r="68" spans="2:17" ht="15.75" thickBot="1" x14ac:dyDescent="0.3">
      <c r="B68" s="394"/>
      <c r="C68" s="2473" t="s">
        <v>455</v>
      </c>
      <c r="D68" s="2473"/>
      <c r="E68" s="2473"/>
      <c r="F68" s="482"/>
      <c r="G68" s="482"/>
      <c r="H68" s="482"/>
      <c r="I68" s="482"/>
      <c r="J68" s="482"/>
      <c r="K68" s="482"/>
      <c r="L68" s="482"/>
      <c r="M68" s="1351"/>
      <c r="N68" s="1351"/>
      <c r="O68" s="1351"/>
      <c r="P68" s="1351"/>
      <c r="Q68" s="944"/>
    </row>
    <row r="69" spans="2:17" ht="15.75" thickBot="1" x14ac:dyDescent="0.3">
      <c r="B69" s="394"/>
      <c r="C69" s="699" t="s">
        <v>1405</v>
      </c>
      <c r="D69" s="942"/>
      <c r="E69" s="1208"/>
      <c r="F69" s="1208"/>
      <c r="G69" s="1208"/>
      <c r="H69" s="2474" t="s">
        <v>457</v>
      </c>
      <c r="I69" s="2475"/>
      <c r="J69" s="446" t="s">
        <v>404</v>
      </c>
      <c r="K69" s="447" t="s">
        <v>405</v>
      </c>
      <c r="L69" s="447" t="s">
        <v>406</v>
      </c>
      <c r="M69" s="447" t="s">
        <v>407</v>
      </c>
      <c r="N69" s="447" t="s">
        <v>408</v>
      </c>
      <c r="O69" s="447" t="s">
        <v>409</v>
      </c>
      <c r="P69" s="448" t="s">
        <v>410</v>
      </c>
      <c r="Q69" s="944"/>
    </row>
    <row r="70" spans="2:17" x14ac:dyDescent="0.25">
      <c r="B70" s="394"/>
      <c r="C70" s="2476" t="s">
        <v>458</v>
      </c>
      <c r="D70" s="2539"/>
      <c r="E70" s="2539"/>
      <c r="F70" s="2539"/>
      <c r="G70" s="2540"/>
      <c r="H70" s="2479">
        <f>'8E(2)- 4%'!H72:I72</f>
        <v>7583566</v>
      </c>
      <c r="I70" s="2480"/>
      <c r="J70" s="1916">
        <f>'8E(2)- 4%'!J72</f>
        <v>459280</v>
      </c>
      <c r="K70" s="1917">
        <f>'8E(2)- 4%'!K72</f>
        <v>459280</v>
      </c>
      <c r="L70" s="1917">
        <f>'8E(2)- 4%'!L72</f>
        <v>459280</v>
      </c>
      <c r="M70" s="1917">
        <f>'8E(2)- 4%'!M72</f>
        <v>459280</v>
      </c>
      <c r="N70" s="1917">
        <f>'8E(2)- 4%'!N72</f>
        <v>459280</v>
      </c>
      <c r="O70" s="1917">
        <f>'8E(2)- 4%'!O72</f>
        <v>459280</v>
      </c>
      <c r="P70" s="1918">
        <f>'8E(2)- 4%'!P72</f>
        <v>459280</v>
      </c>
      <c r="Q70" s="944"/>
    </row>
    <row r="71" spans="2:17" x14ac:dyDescent="0.25">
      <c r="B71" s="394"/>
      <c r="C71" s="2481" t="s">
        <v>459</v>
      </c>
      <c r="D71" s="2541"/>
      <c r="E71" s="2541"/>
      <c r="F71" s="2541"/>
      <c r="G71" s="2542"/>
      <c r="H71" s="2484">
        <f>'8E(2)- 4%'!H73:I73</f>
        <v>0</v>
      </c>
      <c r="I71" s="2485"/>
      <c r="J71" s="1919">
        <f>'8E(2)- 4%'!J73</f>
        <v>0</v>
      </c>
      <c r="K71" s="1920">
        <f>'8E(2)- 4%'!K73</f>
        <v>0</v>
      </c>
      <c r="L71" s="1920">
        <f>'8E(2)- 4%'!L73</f>
        <v>0</v>
      </c>
      <c r="M71" s="1920">
        <f>'8E(2)- 4%'!M73</f>
        <v>0</v>
      </c>
      <c r="N71" s="1920">
        <f>'8E(2)- 4%'!N73</f>
        <v>0</v>
      </c>
      <c r="O71" s="1920">
        <f>'8E(2)- 4%'!O73</f>
        <v>0</v>
      </c>
      <c r="P71" s="1921">
        <f>'8E(2)- 4%'!P73</f>
        <v>0</v>
      </c>
      <c r="Q71" s="944"/>
    </row>
    <row r="72" spans="2:17" ht="15.75" thickBot="1" x14ac:dyDescent="0.3">
      <c r="B72" s="394"/>
      <c r="C72" s="2486" t="s">
        <v>460</v>
      </c>
      <c r="D72" s="2487"/>
      <c r="E72" s="2487"/>
      <c r="F72" s="2487"/>
      <c r="G72" s="2488"/>
      <c r="H72" s="2543">
        <f>'8E(2)- 4%'!H74:I74</f>
        <v>0</v>
      </c>
      <c r="I72" s="2544"/>
      <c r="J72" s="1922">
        <f>'8E(2)- 4%'!J74</f>
        <v>0</v>
      </c>
      <c r="K72" s="1923">
        <f>'8E(2)- 4%'!K74</f>
        <v>0</v>
      </c>
      <c r="L72" s="1923">
        <f>'8E(2)- 4%'!L74</f>
        <v>0</v>
      </c>
      <c r="M72" s="1923">
        <f>'8E(2)- 4%'!M74</f>
        <v>0</v>
      </c>
      <c r="N72" s="1923">
        <f>'8E(2)- 4%'!N74</f>
        <v>0</v>
      </c>
      <c r="O72" s="1923">
        <f>'8E(2)- 4%'!O74</f>
        <v>0</v>
      </c>
      <c r="P72" s="1924">
        <f>'8E(2)- 4%'!P74</f>
        <v>0</v>
      </c>
      <c r="Q72" s="944"/>
    </row>
    <row r="73" spans="2:17" ht="3.75" customHeight="1" x14ac:dyDescent="0.25">
      <c r="B73" s="394"/>
      <c r="C73" s="1925"/>
      <c r="D73" s="1925"/>
      <c r="E73" s="1925"/>
      <c r="F73" s="1925"/>
      <c r="G73" s="1925"/>
      <c r="H73" s="1353"/>
      <c r="I73" s="1353"/>
      <c r="J73" s="1355"/>
      <c r="K73" s="1355"/>
      <c r="L73" s="1355"/>
      <c r="M73" s="1355"/>
      <c r="N73" s="1355"/>
      <c r="O73" s="1355"/>
      <c r="P73" s="1355"/>
      <c r="Q73" s="944"/>
    </row>
    <row r="74" spans="2:17" ht="15.75" thickBot="1" x14ac:dyDescent="0.3">
      <c r="B74" s="394"/>
      <c r="C74" s="1926" t="s">
        <v>1406</v>
      </c>
      <c r="D74" s="1925"/>
      <c r="E74" s="1925"/>
      <c r="F74" s="1925"/>
      <c r="G74" s="1925"/>
      <c r="H74" s="1353"/>
      <c r="I74" s="1353"/>
      <c r="J74" s="1355"/>
      <c r="K74" s="1355"/>
      <c r="L74" s="1355"/>
      <c r="M74" s="1355"/>
      <c r="N74" s="1355"/>
      <c r="O74" s="1355"/>
      <c r="P74" s="1355"/>
      <c r="Q74" s="944"/>
    </row>
    <row r="75" spans="2:17" x14ac:dyDescent="0.25">
      <c r="B75" s="394"/>
      <c r="C75" s="1927" t="str">
        <f>'8E(2)- 9%'!C72:G72</f>
        <v>Lender 1 - Permanent Loan</v>
      </c>
      <c r="D75" s="1928"/>
      <c r="E75" s="1928"/>
      <c r="F75" s="1928"/>
      <c r="G75" s="1929"/>
      <c r="H75" s="2545">
        <f>'8E(2)- 9%'!H72:I72</f>
        <v>1088276</v>
      </c>
      <c r="I75" s="2546"/>
      <c r="J75" s="1930">
        <f>'8E(2)- 9%'!J72</f>
        <v>68005</v>
      </c>
      <c r="K75" s="1931">
        <f>'8E(2)- 9%'!K72</f>
        <v>68005</v>
      </c>
      <c r="L75" s="1931">
        <f>'8E(2)- 9%'!L72</f>
        <v>68005</v>
      </c>
      <c r="M75" s="1931">
        <f>'8E(2)- 9%'!M72</f>
        <v>68005</v>
      </c>
      <c r="N75" s="1931">
        <f>'8E(2)- 9%'!N72</f>
        <v>68005</v>
      </c>
      <c r="O75" s="1931">
        <f>'8E(2)- 9%'!O72</f>
        <v>68005</v>
      </c>
      <c r="P75" s="1932">
        <f>'8E(2)- 9%'!P72</f>
        <v>68005</v>
      </c>
      <c r="Q75" s="944"/>
    </row>
    <row r="76" spans="2:17" x14ac:dyDescent="0.25">
      <c r="B76" s="394"/>
      <c r="C76" s="1933">
        <f>'8E(2)- 9%'!C73:G73</f>
        <v>0</v>
      </c>
      <c r="D76" s="1934"/>
      <c r="E76" s="1934"/>
      <c r="F76" s="1934"/>
      <c r="G76" s="1935"/>
      <c r="H76" s="2547">
        <f>'8E(2)- 9%'!H73:I73</f>
        <v>0</v>
      </c>
      <c r="I76" s="2548"/>
      <c r="J76" s="1936">
        <f>'8E(2)- 9%'!J73</f>
        <v>0</v>
      </c>
      <c r="K76" s="1937">
        <f>'8E(2)- 9%'!K73</f>
        <v>0</v>
      </c>
      <c r="L76" s="1937">
        <f>'8E(2)- 9%'!L73</f>
        <v>0</v>
      </c>
      <c r="M76" s="1937">
        <f>'8E(2)- 9%'!M73</f>
        <v>0</v>
      </c>
      <c r="N76" s="1937">
        <f>'8E(2)- 9%'!N73</f>
        <v>0</v>
      </c>
      <c r="O76" s="1937">
        <f>'8E(2)- 9%'!O73</f>
        <v>0</v>
      </c>
      <c r="P76" s="1938">
        <f>'8E(2)- 9%'!P73</f>
        <v>0</v>
      </c>
      <c r="Q76" s="944"/>
    </row>
    <row r="77" spans="2:17" ht="15.75" thickBot="1" x14ac:dyDescent="0.3">
      <c r="B77" s="394"/>
      <c r="C77" s="2486" t="s">
        <v>460</v>
      </c>
      <c r="D77" s="2487"/>
      <c r="E77" s="2487"/>
      <c r="F77" s="2487"/>
      <c r="G77" s="2488"/>
      <c r="H77" s="2489">
        <f>'8E(2)- 9%'!H74:I74</f>
        <v>0</v>
      </c>
      <c r="I77" s="2490"/>
      <c r="J77" s="1922">
        <f>'8E(2)- 9%'!J74</f>
        <v>0</v>
      </c>
      <c r="K77" s="1923">
        <f>'8E(2)- 9%'!K74</f>
        <v>0</v>
      </c>
      <c r="L77" s="1923">
        <f>'8E(2)- 9%'!L74</f>
        <v>0</v>
      </c>
      <c r="M77" s="1923">
        <f>'8E(2)- 9%'!M74</f>
        <v>0</v>
      </c>
      <c r="N77" s="1923">
        <f>'8E(2)- 9%'!N74</f>
        <v>0</v>
      </c>
      <c r="O77" s="1923">
        <f>'8E(2)- 9%'!O74</f>
        <v>0</v>
      </c>
      <c r="P77" s="1924">
        <f>'8E(2)- 9%'!P74</f>
        <v>0</v>
      </c>
      <c r="Q77" s="944"/>
    </row>
    <row r="78" spans="2:17" ht="15.75" thickTop="1" x14ac:dyDescent="0.25">
      <c r="B78" s="394"/>
      <c r="C78" s="1352"/>
      <c r="D78" s="1352"/>
      <c r="E78" s="1352"/>
      <c r="F78" s="1352"/>
      <c r="G78" s="1352"/>
      <c r="H78" s="1353"/>
      <c r="I78" s="1354" t="s">
        <v>461</v>
      </c>
      <c r="J78" s="483">
        <f t="shared" ref="J78:P78" si="9">SUM(J70:J77)</f>
        <v>527285</v>
      </c>
      <c r="K78" s="484">
        <f t="shared" si="9"/>
        <v>527285</v>
      </c>
      <c r="L78" s="484">
        <f t="shared" si="9"/>
        <v>527285</v>
      </c>
      <c r="M78" s="484">
        <f t="shared" si="9"/>
        <v>527285</v>
      </c>
      <c r="N78" s="484">
        <f t="shared" si="9"/>
        <v>527285</v>
      </c>
      <c r="O78" s="484">
        <f t="shared" si="9"/>
        <v>527285</v>
      </c>
      <c r="P78" s="485">
        <f t="shared" si="9"/>
        <v>527285</v>
      </c>
      <c r="Q78" s="944"/>
    </row>
    <row r="79" spans="2:17" x14ac:dyDescent="0.25">
      <c r="B79" s="394"/>
      <c r="C79" s="1352"/>
      <c r="D79" s="1352"/>
      <c r="E79" s="1352"/>
      <c r="F79" s="1208"/>
      <c r="G79" s="1208"/>
      <c r="H79" s="1825"/>
      <c r="I79" s="1825" t="s">
        <v>462</v>
      </c>
      <c r="J79" s="2071">
        <f t="shared" ref="J79:P79" si="10">IFERROR(J66/J78,"$0 ")</f>
        <v>1.230695828631575</v>
      </c>
      <c r="K79" s="2072">
        <f t="shared" si="10"/>
        <v>1.2480474643693635</v>
      </c>
      <c r="L79" s="2072">
        <f t="shared" si="10"/>
        <v>1.2653959250760973</v>
      </c>
      <c r="M79" s="2072">
        <f t="shared" si="10"/>
        <v>1.2827253570599977</v>
      </c>
      <c r="N79" s="2072">
        <f t="shared" si="10"/>
        <v>1.3000189389655898</v>
      </c>
      <c r="O79" s="2072">
        <f t="shared" si="10"/>
        <v>1.3172588368170377</v>
      </c>
      <c r="P79" s="2076">
        <f t="shared" si="10"/>
        <v>1.334426157180052</v>
      </c>
      <c r="Q79" s="944"/>
    </row>
    <row r="80" spans="2:17" ht="15.75" thickBot="1" x14ac:dyDescent="0.3">
      <c r="B80" s="394"/>
      <c r="C80" s="1352"/>
      <c r="D80" s="1352"/>
      <c r="E80" s="1352"/>
      <c r="F80" s="2491" t="s">
        <v>463</v>
      </c>
      <c r="G80" s="2491"/>
      <c r="H80" s="2491"/>
      <c r="I80" s="2492"/>
      <c r="J80" s="486">
        <f t="shared" ref="J80:P80" si="11">J66-J78</f>
        <v>121642.45000000007</v>
      </c>
      <c r="K80" s="487">
        <f t="shared" si="11"/>
        <v>130791.70724999986</v>
      </c>
      <c r="L80" s="487">
        <f t="shared" si="11"/>
        <v>139939.29035375</v>
      </c>
      <c r="M80" s="487">
        <f t="shared" si="11"/>
        <v>149076.83989738091</v>
      </c>
      <c r="N80" s="487">
        <f t="shared" si="11"/>
        <v>158195.48623247107</v>
      </c>
      <c r="O80" s="487">
        <f t="shared" si="11"/>
        <v>167285.82577107172</v>
      </c>
      <c r="P80" s="488">
        <f t="shared" si="11"/>
        <v>176337.89628868375</v>
      </c>
      <c r="Q80" s="944"/>
    </row>
    <row r="81" spans="2:17" ht="15" customHeight="1" thickBot="1" x14ac:dyDescent="0.3">
      <c r="B81" s="394"/>
      <c r="C81" s="1352"/>
      <c r="D81" s="1352"/>
      <c r="E81" s="1352"/>
      <c r="F81" s="1352"/>
      <c r="G81" s="1352"/>
      <c r="H81" s="1353"/>
      <c r="I81" s="1353"/>
      <c r="J81" s="1355"/>
      <c r="K81" s="1355"/>
      <c r="L81" s="1355"/>
      <c r="M81" s="1355"/>
      <c r="N81" s="1355"/>
      <c r="O81" s="1355"/>
      <c r="P81" s="1355"/>
      <c r="Q81" s="944"/>
    </row>
    <row r="82" spans="2:17" ht="15.75" thickBot="1" x14ac:dyDescent="0.3">
      <c r="B82" s="394"/>
      <c r="C82" s="1873" t="s">
        <v>464</v>
      </c>
      <c r="D82" s="762"/>
      <c r="E82" s="762"/>
      <c r="F82" s="762"/>
      <c r="G82" s="763"/>
      <c r="H82" s="2474" t="s">
        <v>457</v>
      </c>
      <c r="I82" s="2475"/>
      <c r="J82" s="446" t="s">
        <v>404</v>
      </c>
      <c r="K82" s="447" t="s">
        <v>405</v>
      </c>
      <c r="L82" s="447" t="s">
        <v>406</v>
      </c>
      <c r="M82" s="447" t="s">
        <v>407</v>
      </c>
      <c r="N82" s="447" t="s">
        <v>408</v>
      </c>
      <c r="O82" s="447" t="s">
        <v>409</v>
      </c>
      <c r="P82" s="448" t="s">
        <v>410</v>
      </c>
      <c r="Q82" s="944"/>
    </row>
    <row r="83" spans="2:17" ht="16.5" thickTop="1" thickBot="1" x14ac:dyDescent="0.3">
      <c r="B83" s="394"/>
      <c r="C83" s="1208"/>
      <c r="D83" s="1208"/>
      <c r="E83" s="1208"/>
      <c r="F83" s="2491" t="s">
        <v>465</v>
      </c>
      <c r="G83" s="2491"/>
      <c r="H83" s="2491"/>
      <c r="I83" s="2492"/>
      <c r="J83" s="489">
        <f>'8E(2)- 4%'!J84+'8E(2)- 9%'!J84</f>
        <v>0</v>
      </c>
      <c r="K83" s="490">
        <f>'8E(2)- 4%'!K84+'8E(2)- 9%'!K84</f>
        <v>0</v>
      </c>
      <c r="L83" s="490">
        <f>'8E(2)- 4%'!L84+'8E(2)- 9%'!L84</f>
        <v>0</v>
      </c>
      <c r="M83" s="490">
        <f>'8E(2)- 4%'!M84+'8E(2)- 9%'!M84</f>
        <v>0</v>
      </c>
      <c r="N83" s="490">
        <f>'8E(2)- 4%'!N84+'8E(2)- 9%'!N84</f>
        <v>0</v>
      </c>
      <c r="O83" s="490">
        <f>'8E(2)- 4%'!O84+'8E(2)- 9%'!O84</f>
        <v>0</v>
      </c>
      <c r="P83" s="491">
        <f>'8E(2)- 4%'!P84+'8E(2)- 9%'!P84</f>
        <v>0</v>
      </c>
      <c r="Q83" s="944"/>
    </row>
    <row r="84" spans="2:17" ht="7.5" customHeight="1" thickBot="1" x14ac:dyDescent="0.3">
      <c r="B84" s="394"/>
      <c r="C84" s="1208"/>
      <c r="D84" s="1208"/>
      <c r="E84" s="1208"/>
      <c r="F84" s="1208"/>
      <c r="G84" s="1208"/>
      <c r="H84" s="1208"/>
      <c r="I84" s="1208"/>
      <c r="J84" s="1208"/>
      <c r="K84" s="1208"/>
      <c r="L84" s="1208"/>
      <c r="M84" s="1208"/>
      <c r="N84" s="1208"/>
      <c r="O84" s="1208"/>
      <c r="P84" s="1208"/>
      <c r="Q84" s="944"/>
    </row>
    <row r="85" spans="2:17" x14ac:dyDescent="0.25">
      <c r="B85" s="394"/>
      <c r="C85" s="1208"/>
      <c r="D85" s="1208"/>
      <c r="E85" s="1208"/>
      <c r="F85" s="2491" t="s">
        <v>466</v>
      </c>
      <c r="G85" s="2491"/>
      <c r="H85" s="2491"/>
      <c r="I85" s="2492"/>
      <c r="J85" s="2073">
        <f t="shared" ref="J85:P85" si="12">IFERROR(J66/(J78+J83),"$0 ")</f>
        <v>1.230695828631575</v>
      </c>
      <c r="K85" s="2074">
        <f t="shared" si="12"/>
        <v>1.2480474643693635</v>
      </c>
      <c r="L85" s="2074">
        <f t="shared" si="12"/>
        <v>1.2653959250760973</v>
      </c>
      <c r="M85" s="2074">
        <f t="shared" si="12"/>
        <v>1.2827253570599977</v>
      </c>
      <c r="N85" s="2074">
        <f t="shared" si="12"/>
        <v>1.3000189389655898</v>
      </c>
      <c r="O85" s="2074">
        <f t="shared" si="12"/>
        <v>1.3172588368170377</v>
      </c>
      <c r="P85" s="2075">
        <f t="shared" si="12"/>
        <v>1.334426157180052</v>
      </c>
      <c r="Q85" s="944"/>
    </row>
    <row r="86" spans="2:17" ht="15.75" thickBot="1" x14ac:dyDescent="0.3">
      <c r="B86" s="394"/>
      <c r="C86" s="1208"/>
      <c r="D86" s="1208"/>
      <c r="E86" s="1208"/>
      <c r="F86" s="2491" t="s">
        <v>467</v>
      </c>
      <c r="G86" s="2491"/>
      <c r="H86" s="2493"/>
      <c r="I86" s="2494"/>
      <c r="J86" s="1356">
        <f t="shared" ref="J86:P86" si="13">J80-J83</f>
        <v>121642.45000000007</v>
      </c>
      <c r="K86" s="1357">
        <f t="shared" si="13"/>
        <v>130791.70724999986</v>
      </c>
      <c r="L86" s="1358">
        <f t="shared" si="13"/>
        <v>139939.29035375</v>
      </c>
      <c r="M86" s="1358">
        <f t="shared" si="13"/>
        <v>149076.83989738091</v>
      </c>
      <c r="N86" s="1358">
        <f t="shared" si="13"/>
        <v>158195.48623247107</v>
      </c>
      <c r="O86" s="1358">
        <f t="shared" si="13"/>
        <v>167285.82577107172</v>
      </c>
      <c r="P86" s="1359">
        <f t="shared" si="13"/>
        <v>176337.89628868375</v>
      </c>
      <c r="Q86" s="944"/>
    </row>
    <row r="87" spans="2:17" ht="9" customHeight="1" thickBot="1" x14ac:dyDescent="0.3">
      <c r="B87" s="1307"/>
      <c r="C87" s="360"/>
      <c r="D87" s="577"/>
      <c r="E87" s="360"/>
      <c r="F87" s="360"/>
      <c r="G87" s="360"/>
      <c r="H87" s="360"/>
      <c r="I87" s="360"/>
      <c r="J87" s="360"/>
      <c r="K87" s="360"/>
      <c r="L87" s="360"/>
      <c r="M87" s="360"/>
      <c r="N87" s="360"/>
      <c r="O87" s="360"/>
      <c r="P87" s="360"/>
      <c r="Q87" s="361"/>
    </row>
    <row r="88" spans="2:17" ht="9" customHeight="1" x14ac:dyDescent="0.25">
      <c r="B88" s="511"/>
      <c r="C88" s="512"/>
      <c r="D88" s="512"/>
      <c r="E88" s="512"/>
      <c r="F88" s="512"/>
      <c r="G88" s="512"/>
      <c r="H88" s="512"/>
      <c r="I88" s="512"/>
      <c r="J88" s="512"/>
      <c r="K88" s="512"/>
      <c r="L88" s="512"/>
      <c r="M88" s="512"/>
      <c r="N88" s="512"/>
      <c r="O88" s="512"/>
      <c r="P88" s="512"/>
      <c r="Q88" s="513"/>
    </row>
    <row r="89" spans="2:17" ht="18.75" x14ac:dyDescent="0.3">
      <c r="B89" s="514"/>
      <c r="C89" s="2225" t="s">
        <v>1068</v>
      </c>
      <c r="D89" s="2225"/>
      <c r="E89" s="2225"/>
      <c r="F89" s="2225"/>
      <c r="G89" s="2225"/>
      <c r="H89" s="2225"/>
      <c r="I89" s="2225"/>
      <c r="J89" s="2225"/>
      <c r="K89" s="2225"/>
      <c r="L89" s="2225"/>
      <c r="M89" s="2225"/>
      <c r="N89" s="2225"/>
      <c r="O89" s="2225"/>
      <c r="P89" s="2225"/>
      <c r="Q89" s="516"/>
    </row>
    <row r="90" spans="2:17" x14ac:dyDescent="0.25">
      <c r="B90" s="514"/>
      <c r="C90" s="515"/>
      <c r="D90" s="515"/>
      <c r="E90" s="515"/>
      <c r="F90" s="515"/>
      <c r="G90" s="515"/>
      <c r="H90" s="515"/>
      <c r="I90" s="515"/>
      <c r="J90" s="515"/>
      <c r="K90" s="515"/>
      <c r="L90" s="515"/>
      <c r="M90" s="515"/>
      <c r="N90" s="515"/>
      <c r="O90" s="515"/>
      <c r="P90" s="515"/>
      <c r="Q90" s="516"/>
    </row>
    <row r="91" spans="2:17" x14ac:dyDescent="0.25">
      <c r="B91" s="514"/>
      <c r="C91" s="1123" t="s">
        <v>59</v>
      </c>
      <c r="D91" s="1822" t="str">
        <f>IF('1A'!G101="","Enter Project Name on Form 1A",'1A'!G101)</f>
        <v>Enter Project Name on Form 1A</v>
      </c>
      <c r="E91" s="1822"/>
      <c r="F91" s="1822"/>
      <c r="G91" s="1822"/>
      <c r="H91" s="1822"/>
      <c r="I91" s="1822"/>
      <c r="J91" s="1822"/>
      <c r="K91" s="1208"/>
      <c r="L91" s="1208"/>
      <c r="M91" s="1208"/>
      <c r="N91" s="1123"/>
      <c r="O91" s="1123"/>
      <c r="P91" s="1123"/>
      <c r="Q91" s="516"/>
    </row>
    <row r="92" spans="2:17" ht="3.75" customHeight="1" x14ac:dyDescent="0.25">
      <c r="B92" s="514"/>
      <c r="C92" s="1123"/>
      <c r="D92" s="1123"/>
      <c r="E92" s="1123"/>
      <c r="F92" s="1123"/>
      <c r="G92" s="1123"/>
      <c r="H92" s="1123"/>
      <c r="I92" s="1123"/>
      <c r="J92" s="1208"/>
      <c r="K92" s="1208"/>
      <c r="L92" s="1208"/>
      <c r="M92" s="1208"/>
      <c r="N92" s="1123"/>
      <c r="O92" s="1123"/>
      <c r="P92" s="1123"/>
      <c r="Q92" s="516"/>
    </row>
    <row r="93" spans="2:17" x14ac:dyDescent="0.25">
      <c r="B93" s="517"/>
      <c r="C93" s="1123" t="s">
        <v>402</v>
      </c>
      <c r="D93" s="1371">
        <f>IF(N9=0,"",N9)</f>
        <v>42262</v>
      </c>
      <c r="E93" s="518"/>
      <c r="F93" s="518"/>
      <c r="G93" s="518"/>
      <c r="H93" s="518"/>
      <c r="I93" s="518"/>
      <c r="J93" s="519"/>
      <c r="K93" s="519"/>
      <c r="L93" s="519"/>
      <c r="M93" s="519"/>
      <c r="N93" s="519"/>
      <c r="O93" s="520"/>
      <c r="P93" s="519"/>
      <c r="Q93" s="521"/>
    </row>
    <row r="94" spans="2:17" ht="7.5" customHeight="1" x14ac:dyDescent="0.25">
      <c r="B94" s="394"/>
      <c r="C94" s="942"/>
      <c r="D94" s="942"/>
      <c r="E94" s="942"/>
      <c r="F94" s="942"/>
      <c r="G94" s="942"/>
      <c r="H94" s="942"/>
      <c r="I94" s="942"/>
      <c r="J94" s="942"/>
      <c r="K94" s="942"/>
      <c r="L94" s="942"/>
      <c r="M94" s="942"/>
      <c r="N94" s="942"/>
      <c r="O94" s="942"/>
      <c r="P94" s="942"/>
      <c r="Q94" s="944"/>
    </row>
    <row r="95" spans="2:17" ht="15.75" thickBot="1" x14ac:dyDescent="0.3">
      <c r="B95" s="523"/>
      <c r="C95" s="442" t="s">
        <v>403</v>
      </c>
      <c r="D95" s="443"/>
      <c r="E95" s="441"/>
      <c r="F95" s="441"/>
      <c r="G95" s="441"/>
      <c r="H95" s="441"/>
      <c r="I95" s="441"/>
      <c r="J95" s="443"/>
      <c r="K95" s="443"/>
      <c r="L95" s="443"/>
      <c r="M95" s="443"/>
      <c r="N95" s="443"/>
      <c r="O95" s="445"/>
      <c r="P95" s="443"/>
      <c r="Q95" s="525"/>
    </row>
    <row r="96" spans="2:17" ht="15.75" thickBot="1" x14ac:dyDescent="0.3">
      <c r="B96" s="394"/>
      <c r="C96" s="532"/>
      <c r="D96" s="1208"/>
      <c r="E96" s="1208"/>
      <c r="F96" s="1208"/>
      <c r="G96" s="1208"/>
      <c r="H96" s="1208"/>
      <c r="I96" s="492" t="s">
        <v>468</v>
      </c>
      <c r="J96" s="493" t="s">
        <v>469</v>
      </c>
      <c r="K96" s="447" t="s">
        <v>470</v>
      </c>
      <c r="L96" s="447" t="s">
        <v>471</v>
      </c>
      <c r="M96" s="447" t="s">
        <v>472</v>
      </c>
      <c r="N96" s="447" t="s">
        <v>473</v>
      </c>
      <c r="O96" s="447" t="s">
        <v>474</v>
      </c>
      <c r="P96" s="448" t="s">
        <v>475</v>
      </c>
      <c r="Q96" s="944"/>
    </row>
    <row r="97" spans="2:17" x14ac:dyDescent="0.25">
      <c r="B97" s="394"/>
      <c r="C97" s="524" t="s">
        <v>411</v>
      </c>
      <c r="D97" s="1208"/>
      <c r="E97" s="1208"/>
      <c r="F97" s="1208"/>
      <c r="G97" s="1208"/>
      <c r="H97" s="1208"/>
      <c r="I97" s="450"/>
      <c r="J97" s="451"/>
      <c r="K97" s="451"/>
      <c r="L97" s="451"/>
      <c r="M97" s="451"/>
      <c r="N97" s="451"/>
      <c r="O97" s="451"/>
      <c r="P97" s="452"/>
      <c r="Q97" s="944"/>
    </row>
    <row r="98" spans="2:17" x14ac:dyDescent="0.25">
      <c r="B98" s="394"/>
      <c r="C98" s="578" t="s">
        <v>413</v>
      </c>
      <c r="D98" s="1208"/>
      <c r="E98" s="1208"/>
      <c r="F98" s="1208"/>
      <c r="G98" s="1208"/>
      <c r="H98" s="1208"/>
      <c r="I98" s="1905">
        <f>'8E(2)- 4%'!I99+'8E(2)- 9%'!I99</f>
        <v>1631742.2172614587</v>
      </c>
      <c r="J98" s="1939">
        <f>'8E(2)- 4%'!J99+'8E(2)- 9%'!J99</f>
        <v>1672535.7726929951</v>
      </c>
      <c r="K98" s="1939">
        <f>'8E(2)- 4%'!K99+'8E(2)- 9%'!K99</f>
        <v>1714349.1670103199</v>
      </c>
      <c r="L98" s="1939">
        <f>'8E(2)- 4%'!L99+'8E(2)- 9%'!L99</f>
        <v>1757207.8961855778</v>
      </c>
      <c r="M98" s="1939">
        <f>'8E(2)- 4%'!M99+'8E(2)- 9%'!M99</f>
        <v>1801138.0935902172</v>
      </c>
      <c r="N98" s="1939">
        <f>'8E(2)- 4%'!N99+'8E(2)- 9%'!N99</f>
        <v>1846166.5459299728</v>
      </c>
      <c r="O98" s="1939">
        <f>'8E(2)- 4%'!O99+'8E(2)- 9%'!O99</f>
        <v>1892320.7095782221</v>
      </c>
      <c r="P98" s="1940">
        <f>'8E(2)- 4%'!P99+'8E(2)- 9%'!P99</f>
        <v>1939628.7273176773</v>
      </c>
      <c r="Q98" s="944"/>
    </row>
    <row r="99" spans="2:17" x14ac:dyDescent="0.25">
      <c r="B99" s="394"/>
      <c r="C99" s="578" t="s">
        <v>361</v>
      </c>
      <c r="D99" s="1208"/>
      <c r="E99" s="1208"/>
      <c r="F99" s="1208"/>
      <c r="G99" s="1208"/>
      <c r="H99" s="1208"/>
      <c r="I99" s="1905">
        <f>'8E(2)- 4%'!I100+'8E(2)- 9%'!I100</f>
        <v>0</v>
      </c>
      <c r="J99" s="1939">
        <f>'8E(2)- 4%'!J100+'8E(2)- 9%'!J100</f>
        <v>0</v>
      </c>
      <c r="K99" s="1939">
        <f>'8E(2)- 4%'!K100+'8E(2)- 9%'!K100</f>
        <v>0</v>
      </c>
      <c r="L99" s="1939">
        <f>'8E(2)- 4%'!L100+'8E(2)- 9%'!L100</f>
        <v>0</v>
      </c>
      <c r="M99" s="1939">
        <f>'8E(2)- 4%'!M100+'8E(2)- 9%'!M100</f>
        <v>0</v>
      </c>
      <c r="N99" s="1939">
        <f>'8E(2)- 4%'!N100+'8E(2)- 9%'!N100</f>
        <v>0</v>
      </c>
      <c r="O99" s="1939">
        <f>'8E(2)- 4%'!O100+'8E(2)- 9%'!O100</f>
        <v>0</v>
      </c>
      <c r="P99" s="1940">
        <f>'8E(2)- 4%'!P100+'8E(2)- 9%'!P100</f>
        <v>0</v>
      </c>
      <c r="Q99" s="944"/>
    </row>
    <row r="100" spans="2:17" x14ac:dyDescent="0.25">
      <c r="B100" s="394"/>
      <c r="C100" s="578" t="s">
        <v>371</v>
      </c>
      <c r="D100" s="1208"/>
      <c r="E100" s="1208"/>
      <c r="F100" s="1208"/>
      <c r="G100" s="1208"/>
      <c r="H100" s="1208"/>
      <c r="I100" s="1905">
        <f>'8E(2)- 4%'!I101+'8E(2)- 9%'!I101</f>
        <v>0</v>
      </c>
      <c r="J100" s="1939">
        <f>'8E(2)- 4%'!J101+'8E(2)- 9%'!J101</f>
        <v>0</v>
      </c>
      <c r="K100" s="1939">
        <f>'8E(2)- 4%'!K101+'8E(2)- 9%'!K101</f>
        <v>0</v>
      </c>
      <c r="L100" s="1939">
        <f>'8E(2)- 4%'!L101+'8E(2)- 9%'!L101</f>
        <v>0</v>
      </c>
      <c r="M100" s="1939">
        <f>'8E(2)- 4%'!M101+'8E(2)- 9%'!M101</f>
        <v>0</v>
      </c>
      <c r="N100" s="1939">
        <f>'8E(2)- 4%'!N101+'8E(2)- 9%'!N101</f>
        <v>0</v>
      </c>
      <c r="O100" s="1939">
        <f>'8E(2)- 4%'!O101+'8E(2)- 9%'!O101</f>
        <v>0</v>
      </c>
      <c r="P100" s="1940">
        <f>'8E(2)- 4%'!P101+'8E(2)- 9%'!P101</f>
        <v>0</v>
      </c>
      <c r="Q100" s="944"/>
    </row>
    <row r="101" spans="2:17" x14ac:dyDescent="0.25">
      <c r="B101" s="394"/>
      <c r="C101" s="578" t="s">
        <v>476</v>
      </c>
      <c r="D101" s="2506" t="str">
        <f>IF(D19=0,"",D19)</f>
        <v/>
      </c>
      <c r="E101" s="2507"/>
      <c r="F101" s="2507"/>
      <c r="G101" s="591"/>
      <c r="H101" s="532"/>
      <c r="I101" s="1905">
        <f>'8E(2)- 4%'!I102+'8E(2)- 9%'!I102</f>
        <v>17875.043118051912</v>
      </c>
      <c r="J101" s="1939">
        <f>'8E(2)- 4%'!J102+'8E(2)- 9%'!J102</f>
        <v>18071.919196003208</v>
      </c>
      <c r="K101" s="1939">
        <f>'8E(2)- 4%'!K102+'8E(2)- 9%'!K102</f>
        <v>18273.717175903286</v>
      </c>
      <c r="L101" s="1939">
        <f>'8E(2)- 4%'!L102+'8E(2)- 9%'!L102</f>
        <v>18480.560105300872</v>
      </c>
      <c r="M101" s="1939">
        <f>'8E(2)- 4%'!M102+'8E(2)- 9%'!M102</f>
        <v>18692.574107933393</v>
      </c>
      <c r="N101" s="1939">
        <f>'8E(2)- 4%'!N102+'8E(2)- 9%'!N102</f>
        <v>18909.88846063173</v>
      </c>
      <c r="O101" s="1939">
        <f>'8E(2)- 4%'!O102+'8E(2)- 9%'!O102</f>
        <v>19132.63567214752</v>
      </c>
      <c r="P101" s="1940">
        <f>'8E(2)- 4%'!P102+'8E(2)- 9%'!P102</f>
        <v>19360.95156395121</v>
      </c>
      <c r="Q101" s="944"/>
    </row>
    <row r="102" spans="2:17" x14ac:dyDescent="0.25">
      <c r="B102" s="394"/>
      <c r="C102" s="560" t="s">
        <v>476</v>
      </c>
      <c r="D102" s="2506" t="str">
        <f>IF(D20=0,"",D20)</f>
        <v/>
      </c>
      <c r="E102" s="2507"/>
      <c r="F102" s="2507"/>
      <c r="G102" s="591"/>
      <c r="H102" s="532"/>
      <c r="I102" s="1905">
        <f>'8E(2)- 4%'!I103+'8E(2)- 9%'!I103</f>
        <v>23015.025870831145</v>
      </c>
      <c r="J102" s="1939">
        <f>'8E(2)- 4%'!J103+'8E(2)- 9%'!J103</f>
        <v>23133.151517601924</v>
      </c>
      <c r="K102" s="1939">
        <f>'8E(2)- 4%'!K103+'8E(2)- 9%'!K103</f>
        <v>23254.230305541972</v>
      </c>
      <c r="L102" s="1939">
        <f>'8E(2)- 4%'!L103+'8E(2)- 9%'!L103</f>
        <v>23378.336063180523</v>
      </c>
      <c r="M102" s="1939">
        <f>'8E(2)- 4%'!M103+'8E(2)- 9%'!M103</f>
        <v>23505.544464760034</v>
      </c>
      <c r="N102" s="1939">
        <f>'8E(2)- 4%'!N103+'8E(2)- 9%'!N103</f>
        <v>23635.933076379035</v>
      </c>
      <c r="O102" s="1939">
        <f>'8E(2)- 4%'!O103+'8E(2)- 9%'!O103</f>
        <v>23769.58140328851</v>
      </c>
      <c r="P102" s="1940">
        <f>'8E(2)- 4%'!P103+'8E(2)- 9%'!P103</f>
        <v>23906.570938370722</v>
      </c>
      <c r="Q102" s="944"/>
    </row>
    <row r="103" spans="2:17" x14ac:dyDescent="0.25">
      <c r="B103" s="394"/>
      <c r="C103" s="532" t="s">
        <v>415</v>
      </c>
      <c r="D103" s="1208"/>
      <c r="E103" s="1208"/>
      <c r="F103" s="1208"/>
      <c r="G103" s="1208"/>
      <c r="H103" s="1208"/>
      <c r="I103" s="494">
        <f>SUM(I98:I102)</f>
        <v>1672632.2862503419</v>
      </c>
      <c r="J103" s="495">
        <f t="shared" ref="J103:O103" si="14">SUM(J98:J102)</f>
        <v>1713740.8434066002</v>
      </c>
      <c r="K103" s="495">
        <f t="shared" si="14"/>
        <v>1755877.1144917652</v>
      </c>
      <c r="L103" s="495">
        <f t="shared" si="14"/>
        <v>1799066.7923540594</v>
      </c>
      <c r="M103" s="495">
        <f t="shared" si="14"/>
        <v>1843336.2121629105</v>
      </c>
      <c r="N103" s="495">
        <f t="shared" si="14"/>
        <v>1888712.3674669836</v>
      </c>
      <c r="O103" s="495">
        <f t="shared" si="14"/>
        <v>1935222.9266536583</v>
      </c>
      <c r="P103" s="496">
        <f>SUM(P98:P102)</f>
        <v>1982896.2498199991</v>
      </c>
      <c r="Q103" s="944"/>
    </row>
    <row r="104" spans="2:17" x14ac:dyDescent="0.25">
      <c r="B104" s="394"/>
      <c r="C104" s="532"/>
      <c r="D104" s="1208"/>
      <c r="E104" s="1208"/>
      <c r="F104" s="1208"/>
      <c r="G104" s="1208"/>
      <c r="H104" s="1208"/>
      <c r="I104" s="497"/>
      <c r="J104" s="498"/>
      <c r="K104" s="498"/>
      <c r="L104" s="498"/>
      <c r="M104" s="498"/>
      <c r="N104" s="498"/>
      <c r="O104" s="498"/>
      <c r="P104" s="499"/>
      <c r="Q104" s="944"/>
    </row>
    <row r="105" spans="2:17" x14ac:dyDescent="0.25">
      <c r="B105" s="394"/>
      <c r="C105" s="532" t="s">
        <v>417</v>
      </c>
      <c r="D105" s="1208"/>
      <c r="E105" s="1208"/>
      <c r="F105" s="1208"/>
      <c r="G105" s="1208"/>
      <c r="H105" s="1208"/>
      <c r="I105" s="1941">
        <f>'8E(2)- 4%'!I106+'8E(2)- 9%'!I106</f>
        <v>0</v>
      </c>
      <c r="J105" s="1942">
        <f>'8E(2)- 4%'!J106+'8E(2)- 9%'!J106</f>
        <v>0</v>
      </c>
      <c r="K105" s="1942">
        <f>'8E(2)- 4%'!K106+'8E(2)- 9%'!K106</f>
        <v>0</v>
      </c>
      <c r="L105" s="1942">
        <f>'8E(2)- 4%'!L106+'8E(2)- 9%'!L106</f>
        <v>0</v>
      </c>
      <c r="M105" s="1942">
        <f>'8E(2)- 4%'!M106+'8E(2)- 9%'!M106</f>
        <v>0</v>
      </c>
      <c r="N105" s="1942">
        <f>'8E(2)- 4%'!N106+'8E(2)- 9%'!N106</f>
        <v>0</v>
      </c>
      <c r="O105" s="1942">
        <f>'8E(2)- 4%'!O106+'8E(2)- 9%'!O106</f>
        <v>0</v>
      </c>
      <c r="P105" s="1943">
        <f>'8E(2)- 4%'!P106+'8E(2)- 9%'!P106</f>
        <v>0</v>
      </c>
      <c r="Q105" s="944"/>
    </row>
    <row r="106" spans="2:17" x14ac:dyDescent="0.25">
      <c r="B106" s="394"/>
      <c r="C106" s="532"/>
      <c r="D106" s="1208"/>
      <c r="E106" s="1208"/>
      <c r="F106" s="1208"/>
      <c r="G106" s="1208"/>
      <c r="H106" s="1208"/>
      <c r="I106" s="497"/>
      <c r="J106" s="498"/>
      <c r="K106" s="498"/>
      <c r="L106" s="498"/>
      <c r="M106" s="498"/>
      <c r="N106" s="498"/>
      <c r="O106" s="498"/>
      <c r="P106" s="499"/>
      <c r="Q106" s="944"/>
    </row>
    <row r="107" spans="2:17" ht="15.75" thickBot="1" x14ac:dyDescent="0.3">
      <c r="B107" s="394"/>
      <c r="C107" s="535" t="s">
        <v>418</v>
      </c>
      <c r="D107" s="1336"/>
      <c r="E107" s="1336"/>
      <c r="F107" s="1336"/>
      <c r="G107" s="1336"/>
      <c r="H107" s="1336"/>
      <c r="I107" s="1944">
        <f>'8E(2)- 4%'!I108+'8E(2)- 9%'!I108</f>
        <v>0</v>
      </c>
      <c r="J107" s="1945">
        <f>'8E(2)- 4%'!J108+'8E(2)- 9%'!J108</f>
        <v>0</v>
      </c>
      <c r="K107" s="1945">
        <f>'8E(2)- 4%'!K108+'8E(2)- 9%'!K108</f>
        <v>0</v>
      </c>
      <c r="L107" s="1945">
        <f>'8E(2)- 4%'!L108+'8E(2)- 9%'!L108</f>
        <v>0</v>
      </c>
      <c r="M107" s="1945">
        <f>'8E(2)- 4%'!M108+'8E(2)- 9%'!M108</f>
        <v>0</v>
      </c>
      <c r="N107" s="1945">
        <f>'8E(2)- 4%'!N108+'8E(2)- 9%'!N108</f>
        <v>0</v>
      </c>
      <c r="O107" s="1945">
        <f>'8E(2)- 4%'!O108+'8E(2)- 9%'!O108</f>
        <v>0</v>
      </c>
      <c r="P107" s="1946">
        <f>'8E(2)- 4%'!P108+'8E(2)- 9%'!P108</f>
        <v>0</v>
      </c>
      <c r="Q107" s="944"/>
    </row>
    <row r="108" spans="2:17" ht="15.75" thickTop="1" x14ac:dyDescent="0.25">
      <c r="B108" s="394"/>
      <c r="C108" s="524" t="s">
        <v>419</v>
      </c>
      <c r="D108" s="1208"/>
      <c r="E108" s="1208"/>
      <c r="F108" s="1208"/>
      <c r="G108" s="1208"/>
      <c r="H108" s="1208"/>
      <c r="I108" s="500">
        <f>I103+I105+I107</f>
        <v>1672632.2862503419</v>
      </c>
      <c r="J108" s="501">
        <f t="shared" ref="J108:O108" si="15">J103+J105+J107</f>
        <v>1713740.8434066002</v>
      </c>
      <c r="K108" s="501">
        <f t="shared" si="15"/>
        <v>1755877.1144917652</v>
      </c>
      <c r="L108" s="501">
        <f t="shared" si="15"/>
        <v>1799066.7923540594</v>
      </c>
      <c r="M108" s="501">
        <f t="shared" si="15"/>
        <v>1843336.2121629105</v>
      </c>
      <c r="N108" s="501">
        <f t="shared" si="15"/>
        <v>1888712.3674669836</v>
      </c>
      <c r="O108" s="501">
        <f t="shared" si="15"/>
        <v>1935222.9266536583</v>
      </c>
      <c r="P108" s="502">
        <f>P103+P105+P107</f>
        <v>1982896.2498199991</v>
      </c>
      <c r="Q108" s="944"/>
    </row>
    <row r="109" spans="2:17" x14ac:dyDescent="0.25">
      <c r="B109" s="394"/>
      <c r="C109" s="524"/>
      <c r="D109" s="1208"/>
      <c r="E109" s="1208"/>
      <c r="F109" s="1208"/>
      <c r="G109" s="1208"/>
      <c r="H109" s="1208"/>
      <c r="I109" s="497"/>
      <c r="J109" s="498"/>
      <c r="K109" s="498"/>
      <c r="L109" s="498"/>
      <c r="M109" s="498"/>
      <c r="N109" s="498"/>
      <c r="O109" s="498"/>
      <c r="P109" s="499"/>
      <c r="Q109" s="944"/>
    </row>
    <row r="110" spans="2:17" x14ac:dyDescent="0.25">
      <c r="B110" s="394"/>
      <c r="C110" s="581" t="s">
        <v>477</v>
      </c>
      <c r="D110" s="1208"/>
      <c r="E110" s="1208"/>
      <c r="F110" s="1208"/>
      <c r="G110" s="1208"/>
      <c r="H110" s="1208"/>
      <c r="I110" s="1360">
        <f t="shared" ref="I110:P110" si="16">-I103*$H28</f>
        <v>-83631.614312517107</v>
      </c>
      <c r="J110" s="1361">
        <f t="shared" si="16"/>
        <v>-85687.042170330009</v>
      </c>
      <c r="K110" s="1361">
        <f t="shared" si="16"/>
        <v>-87793.855724588269</v>
      </c>
      <c r="L110" s="1361">
        <f t="shared" si="16"/>
        <v>-89953.339617702979</v>
      </c>
      <c r="M110" s="1361">
        <f t="shared" si="16"/>
        <v>-92166.810608145533</v>
      </c>
      <c r="N110" s="1361">
        <f t="shared" si="16"/>
        <v>-94435.618373349193</v>
      </c>
      <c r="O110" s="1361">
        <f t="shared" si="16"/>
        <v>-96761.146332682925</v>
      </c>
      <c r="P110" s="1362">
        <f t="shared" si="16"/>
        <v>-99144.812490999961</v>
      </c>
      <c r="Q110" s="944"/>
    </row>
    <row r="111" spans="2:17" ht="15.75" thickBot="1" x14ac:dyDescent="0.3">
      <c r="B111" s="394"/>
      <c r="C111" s="539" t="s">
        <v>478</v>
      </c>
      <c r="D111" s="1336"/>
      <c r="E111" s="1336"/>
      <c r="F111" s="1336"/>
      <c r="G111" s="1336"/>
      <c r="H111" s="1336"/>
      <c r="I111" s="1363">
        <f t="shared" ref="I111:P111" si="17">-I107*$H29</f>
        <v>0</v>
      </c>
      <c r="J111" s="1364">
        <f t="shared" si="17"/>
        <v>0</v>
      </c>
      <c r="K111" s="1364">
        <f t="shared" si="17"/>
        <v>0</v>
      </c>
      <c r="L111" s="1364">
        <f t="shared" si="17"/>
        <v>0</v>
      </c>
      <c r="M111" s="1364">
        <f t="shared" si="17"/>
        <v>0</v>
      </c>
      <c r="N111" s="1364">
        <f t="shared" si="17"/>
        <v>0</v>
      </c>
      <c r="O111" s="1364">
        <f t="shared" si="17"/>
        <v>0</v>
      </c>
      <c r="P111" s="1365">
        <f t="shared" si="17"/>
        <v>0</v>
      </c>
      <c r="Q111" s="944"/>
    </row>
    <row r="112" spans="2:17" ht="16.5" thickTop="1" thickBot="1" x14ac:dyDescent="0.3">
      <c r="B112" s="394"/>
      <c r="C112" s="540" t="s">
        <v>423</v>
      </c>
      <c r="D112" s="1208"/>
      <c r="E112" s="1208"/>
      <c r="F112" s="1208"/>
      <c r="G112" s="1208"/>
      <c r="H112" s="1208"/>
      <c r="I112" s="503">
        <f>I108+I110+I111</f>
        <v>1589000.6719378247</v>
      </c>
      <c r="J112" s="504">
        <f t="shared" ref="J112:O112" si="18">J108+J110+J111</f>
        <v>1628053.8012362702</v>
      </c>
      <c r="K112" s="505">
        <f t="shared" si="18"/>
        <v>1668083.2587671769</v>
      </c>
      <c r="L112" s="505">
        <f t="shared" si="18"/>
        <v>1709113.4527363565</v>
      </c>
      <c r="M112" s="505">
        <f t="shared" si="18"/>
        <v>1751169.4015547649</v>
      </c>
      <c r="N112" s="505">
        <f t="shared" si="18"/>
        <v>1794276.7490936345</v>
      </c>
      <c r="O112" s="505">
        <f t="shared" si="18"/>
        <v>1838461.7803209755</v>
      </c>
      <c r="P112" s="506">
        <f>P108+P110+P111</f>
        <v>1883751.4373289992</v>
      </c>
      <c r="Q112" s="944"/>
    </row>
    <row r="113" spans="2:17" ht="7.5" customHeight="1" x14ac:dyDescent="0.25">
      <c r="B113" s="394"/>
      <c r="C113" s="942"/>
      <c r="D113" s="942"/>
      <c r="E113" s="942"/>
      <c r="F113" s="942"/>
      <c r="G113" s="942"/>
      <c r="H113" s="942"/>
      <c r="I113" s="942"/>
      <c r="J113" s="942"/>
      <c r="K113" s="942"/>
      <c r="L113" s="942"/>
      <c r="M113" s="942"/>
      <c r="N113" s="942"/>
      <c r="O113" s="942"/>
      <c r="P113" s="942"/>
      <c r="Q113" s="944"/>
    </row>
    <row r="114" spans="2:17" ht="15.75" thickBot="1" x14ac:dyDescent="0.3">
      <c r="B114" s="517"/>
      <c r="C114" s="462" t="s">
        <v>424</v>
      </c>
      <c r="D114" s="463"/>
      <c r="E114" s="463"/>
      <c r="F114" s="463"/>
      <c r="G114" s="463"/>
      <c r="H114" s="463"/>
      <c r="I114" s="463"/>
      <c r="J114" s="463"/>
      <c r="K114" s="463"/>
      <c r="L114" s="463"/>
      <c r="M114" s="464"/>
      <c r="N114" s="463"/>
      <c r="O114" s="463"/>
      <c r="P114" s="463"/>
      <c r="Q114" s="521"/>
    </row>
    <row r="115" spans="2:17" ht="15.75" thickBot="1" x14ac:dyDescent="0.3">
      <c r="B115" s="517"/>
      <c r="C115" s="524" t="s">
        <v>425</v>
      </c>
      <c r="D115" s="515"/>
      <c r="E115" s="532"/>
      <c r="F115" s="942"/>
      <c r="G115" s="942"/>
      <c r="H115" s="515"/>
      <c r="I115" s="446" t="s">
        <v>468</v>
      </c>
      <c r="J115" s="446" t="s">
        <v>469</v>
      </c>
      <c r="K115" s="446" t="s">
        <v>470</v>
      </c>
      <c r="L115" s="446" t="s">
        <v>471</v>
      </c>
      <c r="M115" s="446" t="s">
        <v>472</v>
      </c>
      <c r="N115" s="446" t="s">
        <v>473</v>
      </c>
      <c r="O115" s="446" t="s">
        <v>474</v>
      </c>
      <c r="P115" s="492" t="s">
        <v>475</v>
      </c>
      <c r="Q115" s="516"/>
    </row>
    <row r="116" spans="2:17" x14ac:dyDescent="0.25">
      <c r="B116" s="517"/>
      <c r="C116" s="543" t="s">
        <v>427</v>
      </c>
      <c r="D116" s="544"/>
      <c r="E116" s="545"/>
      <c r="F116" s="544"/>
      <c r="G116" s="544"/>
      <c r="H116" s="545"/>
      <c r="I116" s="1894">
        <f>'8E(2)- 4%'!I117+'8E(2)- 9%'!I117</f>
        <v>203293.24126194051</v>
      </c>
      <c r="J116" s="1895">
        <f>'8E(2)- 4%'!J117+'8E(2)- 9%'!J117</f>
        <v>210408.50470610842</v>
      </c>
      <c r="K116" s="1895">
        <f>'8E(2)- 4%'!K117+'8E(2)- 9%'!K117</f>
        <v>217772.80237082223</v>
      </c>
      <c r="L116" s="1895">
        <f>'8E(2)- 4%'!L117+'8E(2)- 9%'!L117</f>
        <v>225394.85045380099</v>
      </c>
      <c r="M116" s="1895">
        <f>'8E(2)- 4%'!M117+'8E(2)- 9%'!M117</f>
        <v>233283.67021968402</v>
      </c>
      <c r="N116" s="1895">
        <f>'8E(2)- 4%'!N117+'8E(2)- 9%'!N117</f>
        <v>241448.59867737297</v>
      </c>
      <c r="O116" s="1895">
        <f>'8E(2)- 4%'!O117+'8E(2)- 9%'!O117</f>
        <v>249899.29963108103</v>
      </c>
      <c r="P116" s="1896">
        <f>'8E(2)- 4%'!P117+'8E(2)- 9%'!P117</f>
        <v>258645.77511816885</v>
      </c>
      <c r="Q116" s="516"/>
    </row>
    <row r="117" spans="2:17" x14ac:dyDescent="0.25">
      <c r="B117" s="517"/>
      <c r="C117" s="551" t="s">
        <v>428</v>
      </c>
      <c r="D117" s="552"/>
      <c r="E117" s="553"/>
      <c r="F117" s="552"/>
      <c r="G117" s="552"/>
      <c r="H117" s="553"/>
      <c r="I117" s="1898">
        <f>'8E(2)- 4%'!I118+'8E(2)- 9%'!I118</f>
        <v>111894.5560500499</v>
      </c>
      <c r="J117" s="1899">
        <f>'8E(2)- 4%'!J118+'8E(2)- 9%'!J118</f>
        <v>114691.91995130113</v>
      </c>
      <c r="K117" s="1899">
        <f>'8E(2)- 4%'!K118+'8E(2)- 9%'!K118</f>
        <v>117559.21795008366</v>
      </c>
      <c r="L117" s="1899">
        <f>'8E(2)- 4%'!L118+'8E(2)- 9%'!L118</f>
        <v>120498.19839883575</v>
      </c>
      <c r="M117" s="1899">
        <f>'8E(2)- 4%'!M118+'8E(2)- 9%'!M118</f>
        <v>123510.65335880665</v>
      </c>
      <c r="N117" s="1899">
        <f>'8E(2)- 4%'!N118+'8E(2)- 9%'!N118</f>
        <v>126598.41969277681</v>
      </c>
      <c r="O117" s="1899">
        <f>'8E(2)- 4%'!O118+'8E(2)- 9%'!O118</f>
        <v>129763.38018509623</v>
      </c>
      <c r="P117" s="1900">
        <f>'8E(2)- 4%'!P118+'8E(2)- 9%'!P118</f>
        <v>133007.46468972362</v>
      </c>
      <c r="Q117" s="516"/>
    </row>
    <row r="118" spans="2:17" x14ac:dyDescent="0.25">
      <c r="B118" s="517"/>
      <c r="C118" s="551" t="s">
        <v>429</v>
      </c>
      <c r="D118" s="552"/>
      <c r="E118" s="553"/>
      <c r="F118" s="552"/>
      <c r="G118" s="552"/>
      <c r="H118" s="553"/>
      <c r="I118" s="1898">
        <f>'8E(2)- 4%'!I119+'8E(2)- 9%'!I119</f>
        <v>21628.747467031757</v>
      </c>
      <c r="J118" s="1899">
        <f>'8E(2)- 4%'!J119+'8E(2)- 9%'!J119</f>
        <v>22385.753628377868</v>
      </c>
      <c r="K118" s="1899">
        <f>'8E(2)- 4%'!K119+'8E(2)- 9%'!K119</f>
        <v>23169.255005371095</v>
      </c>
      <c r="L118" s="1899">
        <f>'8E(2)- 4%'!L119+'8E(2)- 9%'!L119</f>
        <v>23980.178930559083</v>
      </c>
      <c r="M118" s="1899">
        <f>'8E(2)- 4%'!M119+'8E(2)- 9%'!M119</f>
        <v>24819.48519312865</v>
      </c>
      <c r="N118" s="1899">
        <f>'8E(2)- 4%'!N119+'8E(2)- 9%'!N119</f>
        <v>25688.167174888153</v>
      </c>
      <c r="O118" s="1899">
        <f>'8E(2)- 4%'!O119+'8E(2)- 9%'!O119</f>
        <v>26587.253026009239</v>
      </c>
      <c r="P118" s="1900">
        <f>'8E(2)- 4%'!P119+'8E(2)- 9%'!P119</f>
        <v>27517.806881919561</v>
      </c>
      <c r="Q118" s="516"/>
    </row>
    <row r="119" spans="2:17" x14ac:dyDescent="0.25">
      <c r="B119" s="517"/>
      <c r="C119" s="551" t="s">
        <v>430</v>
      </c>
      <c r="D119" s="553"/>
      <c r="E119" s="552"/>
      <c r="F119" s="582"/>
      <c r="G119" s="582"/>
      <c r="H119" s="553"/>
      <c r="I119" s="1898">
        <f>'8E(2)- 4%'!I120+'8E(2)- 9%'!I120</f>
        <v>3384.2628389590855</v>
      </c>
      <c r="J119" s="1899">
        <f>'8E(2)- 4%'!J120+'8E(2)- 9%'!J120</f>
        <v>3502.7120383226534</v>
      </c>
      <c r="K119" s="1899">
        <f>'8E(2)- 4%'!K120+'8E(2)- 9%'!K120</f>
        <v>3625.3069596639461</v>
      </c>
      <c r="L119" s="1899">
        <f>'8E(2)- 4%'!L120+'8E(2)- 9%'!L120</f>
        <v>3752.1927032521844</v>
      </c>
      <c r="M119" s="1899">
        <f>'8E(2)- 4%'!M120+'8E(2)- 9%'!M120</f>
        <v>3883.5194478660105</v>
      </c>
      <c r="N119" s="1899">
        <f>'8E(2)- 4%'!N120+'8E(2)- 9%'!N120</f>
        <v>4019.442628541321</v>
      </c>
      <c r="O119" s="1899">
        <f>'8E(2)- 4%'!O120+'8E(2)- 9%'!O120</f>
        <v>4160.1231205402673</v>
      </c>
      <c r="P119" s="1900">
        <f>'8E(2)- 4%'!P120+'8E(2)- 9%'!P120</f>
        <v>4305.7274297591775</v>
      </c>
      <c r="Q119" s="516"/>
    </row>
    <row r="120" spans="2:17" x14ac:dyDescent="0.25">
      <c r="B120" s="517"/>
      <c r="C120" s="551" t="s">
        <v>431</v>
      </c>
      <c r="D120" s="552"/>
      <c r="E120" s="553"/>
      <c r="F120" s="552"/>
      <c r="G120" s="552"/>
      <c r="H120" s="553"/>
      <c r="I120" s="1898">
        <f>'8E(2)- 4%'!I121+'8E(2)- 9%'!I121</f>
        <v>50763.942584386299</v>
      </c>
      <c r="J120" s="1899">
        <f>'8E(2)- 4%'!J121+'8E(2)- 9%'!J121</f>
        <v>52540.680574839818</v>
      </c>
      <c r="K120" s="1899">
        <f>'8E(2)- 4%'!K121+'8E(2)- 9%'!K121</f>
        <v>54379.604394959213</v>
      </c>
      <c r="L120" s="1899">
        <f>'8E(2)- 4%'!L121+'8E(2)- 9%'!L121</f>
        <v>56282.890548782787</v>
      </c>
      <c r="M120" s="1899">
        <f>'8E(2)- 4%'!M121+'8E(2)- 9%'!M121</f>
        <v>58252.791717990185</v>
      </c>
      <c r="N120" s="1899">
        <f>'8E(2)- 4%'!N121+'8E(2)- 9%'!N121</f>
        <v>60291.639428119845</v>
      </c>
      <c r="O120" s="1899">
        <f>'8E(2)- 4%'!O121+'8E(2)- 9%'!O121</f>
        <v>62401.846808104034</v>
      </c>
      <c r="P120" s="1900">
        <f>'8E(2)- 4%'!P121+'8E(2)- 9%'!P121</f>
        <v>64585.911446387676</v>
      </c>
      <c r="Q120" s="516"/>
    </row>
    <row r="121" spans="2:17" x14ac:dyDescent="0.25">
      <c r="B121" s="517"/>
      <c r="C121" s="551" t="s">
        <v>432</v>
      </c>
      <c r="D121" s="552"/>
      <c r="E121" s="553"/>
      <c r="F121" s="583"/>
      <c r="G121" s="583"/>
      <c r="H121" s="553"/>
      <c r="I121" s="1898">
        <f>'8E(2)- 4%'!I122+'8E(2)- 9%'!I122</f>
        <v>25361.614823988883</v>
      </c>
      <c r="J121" s="1899">
        <f>'8E(2)- 4%'!J122+'8E(2)- 9%'!J122</f>
        <v>26249.271342828491</v>
      </c>
      <c r="K121" s="1899">
        <f>'8E(2)- 4%'!K122+'8E(2)- 9%'!K122</f>
        <v>27167.99583982749</v>
      </c>
      <c r="L121" s="1899">
        <f>'8E(2)- 4%'!L122+'8E(2)- 9%'!L122</f>
        <v>28118.875694221453</v>
      </c>
      <c r="M121" s="1899">
        <f>'8E(2)- 4%'!M122+'8E(2)- 9%'!M122</f>
        <v>29103.036343519208</v>
      </c>
      <c r="N121" s="1899">
        <f>'8E(2)- 4%'!N122+'8E(2)- 9%'!N122</f>
        <v>30121.64261554238</v>
      </c>
      <c r="O121" s="1899">
        <f>'8E(2)- 4%'!O122+'8E(2)- 9%'!O122</f>
        <v>31175.900107086367</v>
      </c>
      <c r="P121" s="1900">
        <f>'8E(2)- 4%'!P122+'8E(2)- 9%'!P122</f>
        <v>32267.056610834388</v>
      </c>
      <c r="Q121" s="516"/>
    </row>
    <row r="122" spans="2:17" x14ac:dyDescent="0.25">
      <c r="B122" s="517"/>
      <c r="C122" s="551" t="s">
        <v>433</v>
      </c>
      <c r="D122" s="552"/>
      <c r="E122" s="553"/>
      <c r="F122" s="552"/>
      <c r="G122" s="552"/>
      <c r="H122" s="553"/>
      <c r="I122" s="1898">
        <f>'8E(2)- 4%'!I123+'8E(2)- 9%'!I123</f>
        <v>1526.7351153198883</v>
      </c>
      <c r="J122" s="1899">
        <f>'8E(2)- 4%'!J123+'8E(2)- 9%'!J123</f>
        <v>1580.1708443560842</v>
      </c>
      <c r="K122" s="1899">
        <f>'8E(2)- 4%'!K123+'8E(2)- 9%'!K123</f>
        <v>1635.4768239085474</v>
      </c>
      <c r="L122" s="1899">
        <f>'8E(2)- 4%'!L123+'8E(2)- 9%'!L123</f>
        <v>1692.7185127453463</v>
      </c>
      <c r="M122" s="1899">
        <f>'8E(2)- 4%'!M123+'8E(2)- 9%'!M123</f>
        <v>1751.9636606914337</v>
      </c>
      <c r="N122" s="1899">
        <f>'8E(2)- 4%'!N123+'8E(2)- 9%'!N123</f>
        <v>1813.282388815634</v>
      </c>
      <c r="O122" s="1899">
        <f>'8E(2)- 4%'!O123+'8E(2)- 9%'!O123</f>
        <v>1876.7472724241811</v>
      </c>
      <c r="P122" s="1900">
        <f>'8E(2)- 4%'!P123+'8E(2)- 9%'!P123</f>
        <v>1942.4334269590277</v>
      </c>
      <c r="Q122" s="516"/>
    </row>
    <row r="123" spans="2:17" x14ac:dyDescent="0.25">
      <c r="B123" s="517"/>
      <c r="C123" s="551" t="s">
        <v>434</v>
      </c>
      <c r="D123" s="553"/>
      <c r="E123" s="552"/>
      <c r="F123" s="582"/>
      <c r="G123" s="582"/>
      <c r="H123" s="553"/>
      <c r="I123" s="1898">
        <f>'8E(2)- 4%'!I124+'8E(2)- 9%'!I124</f>
        <v>0</v>
      </c>
      <c r="J123" s="1899">
        <f>'8E(2)- 4%'!J124+'8E(2)- 9%'!J124</f>
        <v>0</v>
      </c>
      <c r="K123" s="1899">
        <f>'8E(2)- 4%'!K124+'8E(2)- 9%'!K124</f>
        <v>0</v>
      </c>
      <c r="L123" s="1899">
        <f>'8E(2)- 4%'!L124+'8E(2)- 9%'!L124</f>
        <v>0</v>
      </c>
      <c r="M123" s="1899">
        <f>'8E(2)- 4%'!M124+'8E(2)- 9%'!M124</f>
        <v>0</v>
      </c>
      <c r="N123" s="1899">
        <f>'8E(2)- 4%'!N124+'8E(2)- 9%'!N124</f>
        <v>0</v>
      </c>
      <c r="O123" s="1899">
        <f>'8E(2)- 4%'!O124+'8E(2)- 9%'!O124</f>
        <v>0</v>
      </c>
      <c r="P123" s="1900">
        <f>'8E(2)- 4%'!P124+'8E(2)- 9%'!P124</f>
        <v>0</v>
      </c>
      <c r="Q123" s="516"/>
    </row>
    <row r="124" spans="2:17" x14ac:dyDescent="0.25">
      <c r="B124" s="517"/>
      <c r="C124" s="551" t="s">
        <v>435</v>
      </c>
      <c r="D124" s="552"/>
      <c r="E124" s="553"/>
      <c r="F124" s="552"/>
      <c r="G124" s="552"/>
      <c r="H124" s="553"/>
      <c r="I124" s="1898">
        <f>'8E(2)- 4%'!I125+'8E(2)- 9%'!I125</f>
        <v>15229.182775315887</v>
      </c>
      <c r="J124" s="1899">
        <f>'8E(2)- 4%'!J125+'8E(2)- 9%'!J125</f>
        <v>15762.204172451944</v>
      </c>
      <c r="K124" s="1899">
        <f>'8E(2)- 4%'!K125+'8E(2)- 9%'!K125</f>
        <v>16313.881318487762</v>
      </c>
      <c r="L124" s="1899">
        <f>'8E(2)- 4%'!L125+'8E(2)- 9%'!L125</f>
        <v>16884.86716463483</v>
      </c>
      <c r="M124" s="1899">
        <f>'8E(2)- 4%'!M125+'8E(2)- 9%'!M125</f>
        <v>17475.837515397052</v>
      </c>
      <c r="N124" s="1899">
        <f>'8E(2)- 4%'!N125+'8E(2)- 9%'!N125</f>
        <v>18087.491828435948</v>
      </c>
      <c r="O124" s="1899">
        <f>'8E(2)- 4%'!O125+'8E(2)- 9%'!O125</f>
        <v>18720.554042431206</v>
      </c>
      <c r="P124" s="1900">
        <f>'8E(2)- 4%'!P125+'8E(2)- 9%'!P125</f>
        <v>19375.773433916296</v>
      </c>
      <c r="Q124" s="516"/>
    </row>
    <row r="125" spans="2:17" x14ac:dyDescent="0.25">
      <c r="B125" s="517"/>
      <c r="C125" s="551" t="s">
        <v>436</v>
      </c>
      <c r="D125" s="553"/>
      <c r="E125" s="553"/>
      <c r="F125" s="553"/>
      <c r="G125" s="553"/>
      <c r="H125" s="553"/>
      <c r="I125" s="1898">
        <f>'8E(2)- 4%'!I126+'8E(2)- 9%'!I126</f>
        <v>33842.628389590856</v>
      </c>
      <c r="J125" s="1899">
        <f>'8E(2)- 4%'!J126+'8E(2)- 9%'!J126</f>
        <v>35027.120383226538</v>
      </c>
      <c r="K125" s="1899">
        <f>'8E(2)- 4%'!K126+'8E(2)- 9%'!K126</f>
        <v>36253.069596639463</v>
      </c>
      <c r="L125" s="1899">
        <f>'8E(2)- 4%'!L126+'8E(2)- 9%'!L126</f>
        <v>37521.927032521846</v>
      </c>
      <c r="M125" s="1899">
        <f>'8E(2)- 4%'!M126+'8E(2)- 9%'!M126</f>
        <v>38835.194478660109</v>
      </c>
      <c r="N125" s="1899">
        <f>'8E(2)- 4%'!N126+'8E(2)- 9%'!N126</f>
        <v>40194.42628541321</v>
      </c>
      <c r="O125" s="1899">
        <f>'8E(2)- 4%'!O126+'8E(2)- 9%'!O126</f>
        <v>41601.231205402677</v>
      </c>
      <c r="P125" s="1900">
        <f>'8E(2)- 4%'!P126+'8E(2)- 9%'!P126</f>
        <v>43057.274297591772</v>
      </c>
      <c r="Q125" s="516"/>
    </row>
    <row r="126" spans="2:17" x14ac:dyDescent="0.25">
      <c r="B126" s="517"/>
      <c r="C126" s="551" t="s">
        <v>437</v>
      </c>
      <c r="D126" s="552"/>
      <c r="E126" s="553"/>
      <c r="F126" s="552"/>
      <c r="G126" s="552"/>
      <c r="H126" s="553"/>
      <c r="I126" s="1898">
        <f>'8E(2)- 4%'!I127+'8E(2)- 9%'!I127</f>
        <v>14213.903923628161</v>
      </c>
      <c r="J126" s="1899">
        <f>'8E(2)- 4%'!J127+'8E(2)- 9%'!J127</f>
        <v>14711.390560955148</v>
      </c>
      <c r="K126" s="1899">
        <f>'8E(2)- 4%'!K127+'8E(2)- 9%'!K127</f>
        <v>15226.289230588576</v>
      </c>
      <c r="L126" s="1899">
        <f>'8E(2)- 4%'!L127+'8E(2)- 9%'!L127</f>
        <v>15759.209353659178</v>
      </c>
      <c r="M126" s="1899">
        <f>'8E(2)- 4%'!M127+'8E(2)- 9%'!M127</f>
        <v>16310.781681037248</v>
      </c>
      <c r="N126" s="1899">
        <f>'8E(2)- 4%'!N127+'8E(2)- 9%'!N127</f>
        <v>16881.65903987355</v>
      </c>
      <c r="O126" s="1899">
        <f>'8E(2)- 4%'!O127+'8E(2)- 9%'!O127</f>
        <v>17472.517106269126</v>
      </c>
      <c r="P126" s="1900">
        <f>'8E(2)- 4%'!P127+'8E(2)- 9%'!P127</f>
        <v>18084.055204988545</v>
      </c>
      <c r="Q126" s="516"/>
    </row>
    <row r="127" spans="2:17" x14ac:dyDescent="0.25">
      <c r="B127" s="517"/>
      <c r="C127" s="551" t="s">
        <v>438</v>
      </c>
      <c r="D127" s="553"/>
      <c r="E127" s="553"/>
      <c r="F127" s="553"/>
      <c r="G127" s="553"/>
      <c r="H127" s="553"/>
      <c r="I127" s="1898">
        <f>'8E(2)- 4%'!I128+'8E(2)- 9%'!I128</f>
        <v>8460.6570973977141</v>
      </c>
      <c r="J127" s="1899">
        <f>'8E(2)- 4%'!J128+'8E(2)- 9%'!J128</f>
        <v>8756.7800958066346</v>
      </c>
      <c r="K127" s="1899">
        <f>'8E(2)- 4%'!K128+'8E(2)- 9%'!K128</f>
        <v>9063.2673991598658</v>
      </c>
      <c r="L127" s="1899">
        <f>'8E(2)- 4%'!L128+'8E(2)- 9%'!L128</f>
        <v>9380.4817581304615</v>
      </c>
      <c r="M127" s="1899">
        <f>'8E(2)- 4%'!M128+'8E(2)- 9%'!M128</f>
        <v>9708.7986196650272</v>
      </c>
      <c r="N127" s="1899">
        <f>'8E(2)- 4%'!N128+'8E(2)- 9%'!N128</f>
        <v>10048.606571353303</v>
      </c>
      <c r="O127" s="1899">
        <f>'8E(2)- 4%'!O128+'8E(2)- 9%'!O128</f>
        <v>10400.307801350669</v>
      </c>
      <c r="P127" s="1900">
        <f>'8E(2)- 4%'!P128+'8E(2)- 9%'!P128</f>
        <v>10764.318574397943</v>
      </c>
      <c r="Q127" s="516"/>
    </row>
    <row r="128" spans="2:17" x14ac:dyDescent="0.25">
      <c r="B128" s="517"/>
      <c r="C128" s="551" t="s">
        <v>439</v>
      </c>
      <c r="D128" s="553"/>
      <c r="E128" s="553"/>
      <c r="F128" s="553"/>
      <c r="G128" s="553"/>
      <c r="H128" s="553"/>
      <c r="I128" s="1898">
        <f>'8E(2)- 4%'!I129+'8E(2)- 9%'!I129</f>
        <v>16921.314194795428</v>
      </c>
      <c r="J128" s="1899">
        <f>'8E(2)- 4%'!J129+'8E(2)- 9%'!J129</f>
        <v>17513.560191613269</v>
      </c>
      <c r="K128" s="1899">
        <f>'8E(2)- 4%'!K129+'8E(2)- 9%'!K129</f>
        <v>18126.534798319732</v>
      </c>
      <c r="L128" s="1899">
        <f>'8E(2)- 4%'!L129+'8E(2)- 9%'!L129</f>
        <v>18760.963516260923</v>
      </c>
      <c r="M128" s="1899">
        <f>'8E(2)- 4%'!M129+'8E(2)- 9%'!M129</f>
        <v>19417.597239330054</v>
      </c>
      <c r="N128" s="1899">
        <f>'8E(2)- 4%'!N129+'8E(2)- 9%'!N129</f>
        <v>20097.213142706605</v>
      </c>
      <c r="O128" s="1899">
        <f>'8E(2)- 4%'!O129+'8E(2)- 9%'!O129</f>
        <v>20800.615602701339</v>
      </c>
      <c r="P128" s="1900">
        <f>'8E(2)- 4%'!P129+'8E(2)- 9%'!P129</f>
        <v>21528.637148795886</v>
      </c>
      <c r="Q128" s="516"/>
    </row>
    <row r="129" spans="2:17" x14ac:dyDescent="0.25">
      <c r="B129" s="517"/>
      <c r="C129" s="551" t="s">
        <v>440</v>
      </c>
      <c r="D129" s="553"/>
      <c r="E129" s="553"/>
      <c r="F129" s="553"/>
      <c r="G129" s="553"/>
      <c r="H129" s="553"/>
      <c r="I129" s="1898">
        <f>'8E(2)- 4%'!I130+'8E(2)- 9%'!I130</f>
        <v>8460.6570973977141</v>
      </c>
      <c r="J129" s="1899">
        <f>'8E(2)- 4%'!J130+'8E(2)- 9%'!J130</f>
        <v>8756.7800958066346</v>
      </c>
      <c r="K129" s="1899">
        <f>'8E(2)- 4%'!K130+'8E(2)- 9%'!K130</f>
        <v>9063.2673991598658</v>
      </c>
      <c r="L129" s="1899">
        <f>'8E(2)- 4%'!L130+'8E(2)- 9%'!L130</f>
        <v>9380.4817581304615</v>
      </c>
      <c r="M129" s="1899">
        <f>'8E(2)- 4%'!M130+'8E(2)- 9%'!M130</f>
        <v>9708.7986196650272</v>
      </c>
      <c r="N129" s="1899">
        <f>'8E(2)- 4%'!N130+'8E(2)- 9%'!N130</f>
        <v>10048.606571353303</v>
      </c>
      <c r="O129" s="1899">
        <f>'8E(2)- 4%'!O130+'8E(2)- 9%'!O130</f>
        <v>10400.307801350669</v>
      </c>
      <c r="P129" s="1900">
        <f>'8E(2)- 4%'!P130+'8E(2)- 9%'!P130</f>
        <v>10764.318574397943</v>
      </c>
      <c r="Q129" s="516"/>
    </row>
    <row r="130" spans="2:17" x14ac:dyDescent="0.25">
      <c r="B130" s="517"/>
      <c r="C130" s="551" t="s">
        <v>441</v>
      </c>
      <c r="D130" s="553"/>
      <c r="E130" s="553"/>
      <c r="F130" s="553"/>
      <c r="G130" s="553"/>
      <c r="H130" s="553"/>
      <c r="I130" s="1898">
        <f>'8E(2)- 4%'!I131+'8E(2)- 9%'!I131</f>
        <v>8968.2965232415772</v>
      </c>
      <c r="J130" s="1899">
        <f>'8E(2)- 4%'!J131+'8E(2)- 9%'!J131</f>
        <v>9282.1869015550328</v>
      </c>
      <c r="K130" s="1899">
        <f>'8E(2)- 4%'!K131+'8E(2)- 9%'!K131</f>
        <v>9607.0634431094586</v>
      </c>
      <c r="L130" s="1899">
        <f>'8E(2)- 4%'!L131+'8E(2)- 9%'!L131</f>
        <v>9943.3106636182893</v>
      </c>
      <c r="M130" s="1899">
        <f>'8E(2)- 4%'!M131+'8E(2)- 9%'!M131</f>
        <v>10291.326536844928</v>
      </c>
      <c r="N130" s="1899">
        <f>'8E(2)- 4%'!N131+'8E(2)- 9%'!N131</f>
        <v>10651.522965634502</v>
      </c>
      <c r="O130" s="1899">
        <f>'8E(2)- 4%'!O131+'8E(2)- 9%'!O131</f>
        <v>11024.326269431709</v>
      </c>
      <c r="P130" s="1900">
        <f>'8E(2)- 4%'!P131+'8E(2)- 9%'!P131</f>
        <v>11410.177688861819</v>
      </c>
      <c r="Q130" s="516"/>
    </row>
    <row r="131" spans="2:17" x14ac:dyDescent="0.25">
      <c r="B131" s="517"/>
      <c r="C131" s="551" t="s">
        <v>442</v>
      </c>
      <c r="D131" s="552"/>
      <c r="E131" s="553"/>
      <c r="F131" s="552"/>
      <c r="G131" s="552"/>
      <c r="H131" s="553"/>
      <c r="I131" s="1898">
        <f>'8E(2)- 4%'!I132+'8E(2)- 9%'!I132</f>
        <v>111137.01841536287</v>
      </c>
      <c r="J131" s="1899">
        <f>'8E(2)- 4%'!J132+'8E(2)- 9%'!J132</f>
        <v>115582.49915197738</v>
      </c>
      <c r="K131" s="1899">
        <f>'8E(2)- 4%'!K132+'8E(2)- 9%'!K132</f>
        <v>120205.79911805649</v>
      </c>
      <c r="L131" s="1899">
        <f>'8E(2)- 4%'!L132+'8E(2)- 9%'!L132</f>
        <v>125014.03108277873</v>
      </c>
      <c r="M131" s="1899">
        <f>'8E(2)- 4%'!M132+'8E(2)- 9%'!M132</f>
        <v>130014.59232608989</v>
      </c>
      <c r="N131" s="1899">
        <f>'8E(2)- 4%'!N132+'8E(2)- 9%'!N132</f>
        <v>135215.17601913348</v>
      </c>
      <c r="O131" s="1899">
        <f>'8E(2)- 4%'!O132+'8E(2)- 9%'!O132</f>
        <v>140623.78305989882</v>
      </c>
      <c r="P131" s="1900">
        <f>'8E(2)- 4%'!P132+'8E(2)- 9%'!P132</f>
        <v>146248.73438229476</v>
      </c>
      <c r="Q131" s="516"/>
    </row>
    <row r="132" spans="2:17" x14ac:dyDescent="0.25">
      <c r="B132" s="517"/>
      <c r="C132" s="551" t="s">
        <v>443</v>
      </c>
      <c r="D132" s="552"/>
      <c r="E132" s="553"/>
      <c r="F132" s="552"/>
      <c r="G132" s="552"/>
      <c r="H132" s="553"/>
      <c r="I132" s="1898">
        <f>'8E(2)- 4%'!I133+'8E(2)- 9%'!I133</f>
        <v>23689.839872713601</v>
      </c>
      <c r="J132" s="1899">
        <f>'8E(2)- 4%'!J133+'8E(2)- 9%'!J133</f>
        <v>24518.984268258577</v>
      </c>
      <c r="K132" s="1899">
        <f>'8E(2)- 4%'!K133+'8E(2)- 9%'!K133</f>
        <v>25377.148717647629</v>
      </c>
      <c r="L132" s="1899">
        <f>'8E(2)- 4%'!L133+'8E(2)- 9%'!L133</f>
        <v>26265.348922765297</v>
      </c>
      <c r="M132" s="1899">
        <f>'8E(2)- 4%'!M133+'8E(2)- 9%'!M133</f>
        <v>27184.636135062079</v>
      </c>
      <c r="N132" s="1899">
        <f>'8E(2)- 4%'!N133+'8E(2)- 9%'!N133</f>
        <v>28136.098399789254</v>
      </c>
      <c r="O132" s="1899">
        <f>'8E(2)- 4%'!O133+'8E(2)- 9%'!O133</f>
        <v>29120.86184378188</v>
      </c>
      <c r="P132" s="1900">
        <f>'8E(2)- 4%'!P133+'8E(2)- 9%'!P133</f>
        <v>30140.092008314245</v>
      </c>
      <c r="Q132" s="516"/>
    </row>
    <row r="133" spans="2:17" x14ac:dyDescent="0.25">
      <c r="B133" s="517"/>
      <c r="C133" s="551" t="s">
        <v>444</v>
      </c>
      <c r="D133" s="552"/>
      <c r="E133" s="553"/>
      <c r="F133" s="552"/>
      <c r="G133" s="552"/>
      <c r="H133" s="553"/>
      <c r="I133" s="1898">
        <f>'8E(2)- 4%'!I134+'8E(2)- 9%'!I134</f>
        <v>13537.051355836342</v>
      </c>
      <c r="J133" s="1899">
        <f>'8E(2)- 4%'!J134+'8E(2)- 9%'!J134</f>
        <v>14010.848153290613</v>
      </c>
      <c r="K133" s="1899">
        <f>'8E(2)- 4%'!K134+'8E(2)- 9%'!K134</f>
        <v>14501.227838655785</v>
      </c>
      <c r="L133" s="1899">
        <f>'8E(2)- 4%'!L134+'8E(2)- 9%'!L134</f>
        <v>15008.770813008738</v>
      </c>
      <c r="M133" s="1899">
        <f>'8E(2)- 4%'!M134+'8E(2)- 9%'!M134</f>
        <v>15534.077791464042</v>
      </c>
      <c r="N133" s="1899">
        <f>'8E(2)- 4%'!N134+'8E(2)- 9%'!N134</f>
        <v>16077.770514165284</v>
      </c>
      <c r="O133" s="1899">
        <f>'8E(2)- 4%'!O134+'8E(2)- 9%'!O134</f>
        <v>16640.492482161069</v>
      </c>
      <c r="P133" s="1900">
        <f>'8E(2)- 4%'!P134+'8E(2)- 9%'!P134</f>
        <v>17222.90971903671</v>
      </c>
      <c r="Q133" s="516"/>
    </row>
    <row r="134" spans="2:17" x14ac:dyDescent="0.25">
      <c r="B134" s="517"/>
      <c r="C134" s="551" t="s">
        <v>445</v>
      </c>
      <c r="D134" s="553"/>
      <c r="E134" s="553"/>
      <c r="F134" s="553"/>
      <c r="G134" s="553"/>
      <c r="H134" s="553"/>
      <c r="I134" s="1898">
        <f>'8E(2)- 4%'!I135+'8E(2)- 9%'!I135</f>
        <v>21151.642743494289</v>
      </c>
      <c r="J134" s="1899">
        <f>'8E(2)- 4%'!J135+'8E(2)- 9%'!J135</f>
        <v>21891.950239516587</v>
      </c>
      <c r="K134" s="1899">
        <f>'8E(2)- 4%'!K135+'8E(2)- 9%'!K135</f>
        <v>22658.168497899667</v>
      </c>
      <c r="L134" s="1899">
        <f>'8E(2)- 4%'!L135+'8E(2)- 9%'!L135</f>
        <v>23451.204395326156</v>
      </c>
      <c r="M134" s="1899">
        <f>'8E(2)- 4%'!M135+'8E(2)- 9%'!M135</f>
        <v>24271.99654916257</v>
      </c>
      <c r="N134" s="1899">
        <f>'8E(2)- 4%'!N135+'8E(2)- 9%'!N135</f>
        <v>25121.516428383264</v>
      </c>
      <c r="O134" s="1899">
        <f>'8E(2)- 4%'!O135+'8E(2)- 9%'!O135</f>
        <v>26000.769503376676</v>
      </c>
      <c r="P134" s="1900">
        <f>'8E(2)- 4%'!P135+'8E(2)- 9%'!P135</f>
        <v>26910.79643599486</v>
      </c>
      <c r="Q134" s="516"/>
    </row>
    <row r="135" spans="2:17" x14ac:dyDescent="0.25">
      <c r="B135" s="517"/>
      <c r="C135" s="551" t="s">
        <v>446</v>
      </c>
      <c r="D135" s="553"/>
      <c r="E135" s="553"/>
      <c r="F135" s="553"/>
      <c r="G135" s="553"/>
      <c r="H135" s="553"/>
      <c r="I135" s="1898">
        <f>'8E(2)- 4%'!I136+'8E(2)- 9%'!I136</f>
        <v>5725.2566824495825</v>
      </c>
      <c r="J135" s="1899">
        <f>'8E(2)- 4%'!J136+'8E(2)- 9%'!J136</f>
        <v>5925.6406663353173</v>
      </c>
      <c r="K135" s="1899">
        <f>'8E(2)- 4%'!K136+'8E(2)- 9%'!K136</f>
        <v>6133.0380896570532</v>
      </c>
      <c r="L135" s="1899">
        <f>'8E(2)- 4%'!L136+'8E(2)- 9%'!L136</f>
        <v>6347.6944227950507</v>
      </c>
      <c r="M135" s="1899">
        <f>'8E(2)- 4%'!M136+'8E(2)- 9%'!M136</f>
        <v>6569.8637275928777</v>
      </c>
      <c r="N135" s="1899">
        <f>'8E(2)- 4%'!N136+'8E(2)- 9%'!N136</f>
        <v>6799.8089580586275</v>
      </c>
      <c r="O135" s="1899">
        <f>'8E(2)- 4%'!O136+'8E(2)- 9%'!O136</f>
        <v>7037.80227159068</v>
      </c>
      <c r="P135" s="1900">
        <f>'8E(2)- 4%'!P136+'8E(2)- 9%'!P136</f>
        <v>7284.1253510963543</v>
      </c>
      <c r="Q135" s="516"/>
    </row>
    <row r="136" spans="2:17" x14ac:dyDescent="0.25">
      <c r="B136" s="517"/>
      <c r="C136" s="560" t="s">
        <v>247</v>
      </c>
      <c r="D136" s="561"/>
      <c r="E136" s="562"/>
      <c r="F136" s="584"/>
      <c r="G136" s="584"/>
      <c r="H136" s="562"/>
      <c r="I136" s="1902">
        <f>'8E(2)- 4%'!I137+'8E(2)- 9%'!I137</f>
        <v>117959.37184740289</v>
      </c>
      <c r="J136" s="1903">
        <f>'8E(2)- 4%'!J137+'8E(2)- 9%'!J137</f>
        <v>122087.949862062</v>
      </c>
      <c r="K136" s="1903">
        <f>'8E(2)- 4%'!K137+'8E(2)- 9%'!K137</f>
        <v>126361.02810723416</v>
      </c>
      <c r="L136" s="1903">
        <f>'8E(2)- 4%'!L137+'8E(2)- 9%'!L137</f>
        <v>130783.66409098735</v>
      </c>
      <c r="M136" s="1903">
        <f>'8E(2)- 4%'!M137+'8E(2)- 9%'!M137</f>
        <v>135361.09233417193</v>
      </c>
      <c r="N136" s="1903">
        <f>'8E(2)- 4%'!N137+'8E(2)- 9%'!N137</f>
        <v>140098.73056586794</v>
      </c>
      <c r="O136" s="1903">
        <f>'8E(2)- 4%'!O137+'8E(2)- 9%'!O137</f>
        <v>145002.18613567331</v>
      </c>
      <c r="P136" s="1904">
        <f>'8E(2)- 4%'!P137+'8E(2)- 9%'!P137</f>
        <v>150077.26265042188</v>
      </c>
      <c r="Q136" s="516"/>
    </row>
    <row r="137" spans="2:17" x14ac:dyDescent="0.25">
      <c r="B137" s="517"/>
      <c r="C137" s="475" t="s">
        <v>447</v>
      </c>
      <c r="D137" s="532"/>
      <c r="E137" s="515"/>
      <c r="F137" s="533"/>
      <c r="G137" s="533"/>
      <c r="H137" s="515"/>
      <c r="I137" s="469">
        <f>SUM(I116:I136)</f>
        <v>817149.92106030311</v>
      </c>
      <c r="J137" s="470">
        <f t="shared" ref="J137:O137" si="19">SUM(J116:J136)</f>
        <v>845186.90782899002</v>
      </c>
      <c r="K137" s="470">
        <f t="shared" si="19"/>
        <v>874199.44289925182</v>
      </c>
      <c r="L137" s="470">
        <f t="shared" si="19"/>
        <v>904221.86021681502</v>
      </c>
      <c r="M137" s="470">
        <f t="shared" si="19"/>
        <v>935289.71349582891</v>
      </c>
      <c r="N137" s="470">
        <f t="shared" si="19"/>
        <v>967439.81989622558</v>
      </c>
      <c r="O137" s="470">
        <f t="shared" si="19"/>
        <v>1000710.3052757613</v>
      </c>
      <c r="P137" s="507">
        <f>SUM(P116:P136)</f>
        <v>1035140.6510738614</v>
      </c>
      <c r="Q137" s="516"/>
    </row>
    <row r="138" spans="2:17" ht="7.5" customHeight="1" x14ac:dyDescent="0.25">
      <c r="B138" s="517"/>
      <c r="C138" s="475"/>
      <c r="D138" s="532"/>
      <c r="E138" s="515"/>
      <c r="F138" s="533"/>
      <c r="G138" s="533"/>
      <c r="H138" s="515"/>
      <c r="I138" s="472"/>
      <c r="J138" s="473"/>
      <c r="K138" s="473"/>
      <c r="L138" s="473"/>
      <c r="M138" s="473"/>
      <c r="N138" s="473"/>
      <c r="O138" s="473"/>
      <c r="P138" s="474"/>
      <c r="Q138" s="516"/>
    </row>
    <row r="139" spans="2:17" x14ac:dyDescent="0.25">
      <c r="B139" s="517"/>
      <c r="C139" s="585" t="s">
        <v>448</v>
      </c>
      <c r="D139" s="532"/>
      <c r="E139" s="515"/>
      <c r="F139" s="532"/>
      <c r="G139" s="532"/>
      <c r="H139" s="515"/>
      <c r="I139" s="1898">
        <f>'8E(2)- 4%'!I140+'8E(2)- 9%'!I140</f>
        <v>59224.599681784013</v>
      </c>
      <c r="J139" s="1899">
        <f>'8E(2)- 4%'!J140+'8E(2)- 9%'!J140</f>
        <v>61297.460670646455</v>
      </c>
      <c r="K139" s="1899">
        <f>'8E(2)- 4%'!K140+'8E(2)- 9%'!K140</f>
        <v>63442.871794119077</v>
      </c>
      <c r="L139" s="1899">
        <f>'8E(2)- 4%'!L140+'8E(2)- 9%'!L140</f>
        <v>65663.372306913239</v>
      </c>
      <c r="M139" s="1899">
        <f>'8E(2)- 4%'!M140+'8E(2)- 9%'!M140</f>
        <v>67961.590337655216</v>
      </c>
      <c r="N139" s="1899">
        <f>'8E(2)- 4%'!N140+'8E(2)- 9%'!N140</f>
        <v>70340.245999473147</v>
      </c>
      <c r="O139" s="1899">
        <f>'8E(2)- 4%'!O140+'8E(2)- 9%'!O140</f>
        <v>72802.154609454708</v>
      </c>
      <c r="P139" s="1900">
        <f>'8E(2)- 4%'!P140+'8E(2)- 9%'!P140</f>
        <v>75350.230020785617</v>
      </c>
      <c r="Q139" s="516"/>
    </row>
    <row r="140" spans="2:17" x14ac:dyDescent="0.25">
      <c r="B140" s="517"/>
      <c r="C140" s="569" t="s">
        <v>449</v>
      </c>
      <c r="D140" s="561"/>
      <c r="E140" s="562"/>
      <c r="F140" s="561"/>
      <c r="G140" s="561"/>
      <c r="H140" s="562"/>
      <c r="I140" s="1902">
        <f>'8E(2)- 4%'!I141+'8E(2)- 9%'!I141</f>
        <v>0</v>
      </c>
      <c r="J140" s="1903">
        <f>'8E(2)- 4%'!J141+'8E(2)- 9%'!J141</f>
        <v>0</v>
      </c>
      <c r="K140" s="1903">
        <f>'8E(2)- 4%'!K141+'8E(2)- 9%'!K141</f>
        <v>0</v>
      </c>
      <c r="L140" s="1903">
        <f>'8E(2)- 4%'!L141+'8E(2)- 9%'!L141</f>
        <v>0</v>
      </c>
      <c r="M140" s="1903">
        <f>'8E(2)- 4%'!M141+'8E(2)- 9%'!M141</f>
        <v>0</v>
      </c>
      <c r="N140" s="1903">
        <f>'8E(2)- 4%'!N141+'8E(2)- 9%'!N141</f>
        <v>0</v>
      </c>
      <c r="O140" s="1903">
        <f>'8E(2)- 4%'!O141+'8E(2)- 9%'!O141</f>
        <v>0</v>
      </c>
      <c r="P140" s="1904">
        <f>'8E(2)- 4%'!P141+'8E(2)- 9%'!P141</f>
        <v>0</v>
      </c>
      <c r="Q140" s="516"/>
    </row>
    <row r="141" spans="2:17" x14ac:dyDescent="0.25">
      <c r="B141" s="517"/>
      <c r="C141" s="475" t="s">
        <v>450</v>
      </c>
      <c r="D141" s="532"/>
      <c r="E141" s="532"/>
      <c r="F141" s="532"/>
      <c r="G141" s="532"/>
      <c r="H141" s="515"/>
      <c r="I141" s="469">
        <f>SUM(I139:I140)</f>
        <v>59224.599681784013</v>
      </c>
      <c r="J141" s="470">
        <f t="shared" ref="J141:P141" si="20">SUM(J139:J140)</f>
        <v>61297.460670646455</v>
      </c>
      <c r="K141" s="470">
        <f t="shared" si="20"/>
        <v>63442.871794119077</v>
      </c>
      <c r="L141" s="470">
        <f t="shared" si="20"/>
        <v>65663.372306913239</v>
      </c>
      <c r="M141" s="470">
        <f t="shared" si="20"/>
        <v>67961.590337655216</v>
      </c>
      <c r="N141" s="470">
        <f t="shared" si="20"/>
        <v>70340.245999473147</v>
      </c>
      <c r="O141" s="470">
        <f t="shared" si="20"/>
        <v>72802.154609454708</v>
      </c>
      <c r="P141" s="471">
        <f t="shared" si="20"/>
        <v>75350.230020785617</v>
      </c>
      <c r="Q141" s="516"/>
    </row>
    <row r="142" spans="2:17" ht="7.5" customHeight="1" x14ac:dyDescent="0.25">
      <c r="B142" s="517"/>
      <c r="C142" s="475"/>
      <c r="D142" s="532"/>
      <c r="E142" s="532"/>
      <c r="F142" s="532"/>
      <c r="G142" s="532"/>
      <c r="H142" s="515"/>
      <c r="I142" s="472"/>
      <c r="J142" s="473"/>
      <c r="K142" s="473"/>
      <c r="L142" s="473"/>
      <c r="M142" s="473"/>
      <c r="N142" s="473"/>
      <c r="O142" s="473"/>
      <c r="P142" s="474"/>
      <c r="Q142" s="516"/>
    </row>
    <row r="143" spans="2:17" x14ac:dyDescent="0.25">
      <c r="B143" s="517"/>
      <c r="C143" s="475" t="s">
        <v>451</v>
      </c>
      <c r="D143" s="532"/>
      <c r="E143" s="339"/>
      <c r="F143" s="532"/>
      <c r="G143" s="532"/>
      <c r="H143" s="515"/>
      <c r="I143" s="1909">
        <f>'8E(2)- 4%'!I144+'8E(2)- 9%'!I144</f>
        <v>0</v>
      </c>
      <c r="J143" s="1947">
        <f>'8E(2)- 4%'!J144+'8E(2)- 9%'!J144</f>
        <v>0</v>
      </c>
      <c r="K143" s="1947">
        <f>'8E(2)- 4%'!K144+'8E(2)- 9%'!K144</f>
        <v>0</v>
      </c>
      <c r="L143" s="1947">
        <f>'8E(2)- 4%'!L144+'8E(2)- 9%'!L144</f>
        <v>0</v>
      </c>
      <c r="M143" s="1947">
        <f>'8E(2)- 4%'!M144+'8E(2)- 9%'!M144</f>
        <v>0</v>
      </c>
      <c r="N143" s="1947">
        <f>'8E(2)- 4%'!N144+'8E(2)- 9%'!N144</f>
        <v>0</v>
      </c>
      <c r="O143" s="1947">
        <f>'8E(2)- 4%'!O144+'8E(2)- 9%'!O144</f>
        <v>0</v>
      </c>
      <c r="P143" s="1948">
        <f>'8E(2)- 4%'!P144+'8E(2)- 9%'!P144</f>
        <v>0</v>
      </c>
      <c r="Q143" s="516"/>
    </row>
    <row r="144" spans="2:17" ht="7.5" customHeight="1" x14ac:dyDescent="0.25">
      <c r="B144" s="517"/>
      <c r="C144" s="475"/>
      <c r="D144" s="532"/>
      <c r="E144" s="339"/>
      <c r="F144" s="532"/>
      <c r="G144" s="532"/>
      <c r="H144" s="515"/>
      <c r="I144" s="472"/>
      <c r="J144" s="473"/>
      <c r="K144" s="473"/>
      <c r="L144" s="473"/>
      <c r="M144" s="473"/>
      <c r="N144" s="473"/>
      <c r="O144" s="473"/>
      <c r="P144" s="474"/>
      <c r="Q144" s="516"/>
    </row>
    <row r="145" spans="2:17" ht="15.75" thickBot="1" x14ac:dyDescent="0.3">
      <c r="B145" s="517"/>
      <c r="C145" s="573" t="s">
        <v>452</v>
      </c>
      <c r="D145" s="535"/>
      <c r="E145" s="535"/>
      <c r="F145" s="535"/>
      <c r="G145" s="535"/>
      <c r="H145" s="535"/>
      <c r="I145" s="1913">
        <f>'8E(2)- 4%'!I146+'8E(2)- 9%'!I146</f>
        <v>0</v>
      </c>
      <c r="J145" s="1914">
        <f>'8E(2)- 4%'!J146+'8E(2)- 9%'!J146</f>
        <v>0</v>
      </c>
      <c r="K145" s="1914">
        <f>'8E(2)- 4%'!K146+'8E(2)- 9%'!K146</f>
        <v>0</v>
      </c>
      <c r="L145" s="1914">
        <f>'8E(2)- 4%'!L146+'8E(2)- 9%'!L146</f>
        <v>0</v>
      </c>
      <c r="M145" s="1914">
        <f>'8E(2)- 4%'!M146+'8E(2)- 9%'!M146</f>
        <v>0</v>
      </c>
      <c r="N145" s="1914">
        <f>'8E(2)- 4%'!N146+'8E(2)- 9%'!N146</f>
        <v>0</v>
      </c>
      <c r="O145" s="1914">
        <f>'8E(2)- 4%'!O146+'8E(2)- 9%'!O146</f>
        <v>0</v>
      </c>
      <c r="P145" s="1915">
        <f>'8E(2)- 4%'!P146+'8E(2)- 9%'!P146</f>
        <v>0</v>
      </c>
      <c r="Q145" s="516"/>
    </row>
    <row r="146" spans="2:17" ht="16.5" thickTop="1" thickBot="1" x14ac:dyDescent="0.3">
      <c r="B146" s="517"/>
      <c r="C146" s="540" t="s">
        <v>453</v>
      </c>
      <c r="D146" s="532"/>
      <c r="E146" s="515"/>
      <c r="F146" s="532"/>
      <c r="G146" s="532"/>
      <c r="H146" s="575"/>
      <c r="I146" s="476">
        <f>I137+I141+I143+I145</f>
        <v>876374.52074208716</v>
      </c>
      <c r="J146" s="477">
        <f t="shared" ref="J146:P146" si="21">J137+J141+J143+J145</f>
        <v>906484.36849963642</v>
      </c>
      <c r="K146" s="477">
        <f t="shared" si="21"/>
        <v>937642.31469337095</v>
      </c>
      <c r="L146" s="477">
        <f t="shared" si="21"/>
        <v>969885.23252372828</v>
      </c>
      <c r="M146" s="477">
        <f t="shared" si="21"/>
        <v>1003251.3038334842</v>
      </c>
      <c r="N146" s="477">
        <f t="shared" si="21"/>
        <v>1037780.0658956987</v>
      </c>
      <c r="O146" s="477">
        <f t="shared" si="21"/>
        <v>1073512.4598852161</v>
      </c>
      <c r="P146" s="478">
        <f t="shared" si="21"/>
        <v>1110490.8810946471</v>
      </c>
      <c r="Q146" s="516"/>
    </row>
    <row r="147" spans="2:17" ht="7.5" customHeight="1" thickBot="1" x14ac:dyDescent="0.3">
      <c r="B147" s="517"/>
      <c r="C147" s="532"/>
      <c r="D147" s="532"/>
      <c r="E147" s="532"/>
      <c r="F147" s="532"/>
      <c r="G147" s="532"/>
      <c r="H147" s="532"/>
      <c r="I147" s="576"/>
      <c r="J147" s="576"/>
      <c r="K147" s="576"/>
      <c r="L147" s="576"/>
      <c r="M147" s="576"/>
      <c r="N147" s="576"/>
      <c r="O147" s="576"/>
      <c r="P147" s="576"/>
      <c r="Q147" s="516"/>
    </row>
    <row r="148" spans="2:17" ht="15.75" thickBot="1" x14ac:dyDescent="0.3">
      <c r="B148" s="517"/>
      <c r="C148" s="540" t="s">
        <v>454</v>
      </c>
      <c r="D148" s="532"/>
      <c r="E148" s="532"/>
      <c r="F148" s="532"/>
      <c r="G148" s="532"/>
      <c r="H148" s="532"/>
      <c r="I148" s="479">
        <f>I112-I146</f>
        <v>712626.15119573753</v>
      </c>
      <c r="J148" s="480">
        <f>J112-J146</f>
        <v>721569.43273663381</v>
      </c>
      <c r="K148" s="480">
        <f t="shared" ref="K148:P148" si="22">K112-K146</f>
        <v>730440.94407380593</v>
      </c>
      <c r="L148" s="480">
        <f t="shared" si="22"/>
        <v>739228.22021262825</v>
      </c>
      <c r="M148" s="480">
        <f t="shared" si="22"/>
        <v>747918.09772128076</v>
      </c>
      <c r="N148" s="480">
        <f t="shared" si="22"/>
        <v>756496.68319793581</v>
      </c>
      <c r="O148" s="480">
        <f t="shared" si="22"/>
        <v>764949.32043575938</v>
      </c>
      <c r="P148" s="481">
        <f t="shared" si="22"/>
        <v>773260.55623435206</v>
      </c>
      <c r="Q148" s="516"/>
    </row>
    <row r="149" spans="2:17" x14ac:dyDescent="0.25">
      <c r="B149" s="394"/>
      <c r="C149" s="942"/>
      <c r="D149" s="942"/>
      <c r="E149" s="942"/>
      <c r="F149" s="942"/>
      <c r="G149" s="942"/>
      <c r="H149" s="942"/>
      <c r="I149" s="942"/>
      <c r="J149" s="942"/>
      <c r="K149" s="942"/>
      <c r="L149" s="942"/>
      <c r="M149" s="942"/>
      <c r="N149" s="942"/>
      <c r="O149" s="942"/>
      <c r="P149" s="942"/>
      <c r="Q149" s="944"/>
    </row>
    <row r="150" spans="2:17" ht="15.75" thickBot="1" x14ac:dyDescent="0.3">
      <c r="B150" s="394"/>
      <c r="C150" s="2473" t="s">
        <v>455</v>
      </c>
      <c r="D150" s="2473"/>
      <c r="E150" s="2473"/>
      <c r="F150" s="482"/>
      <c r="G150" s="482"/>
      <c r="H150" s="482"/>
      <c r="I150" s="482"/>
      <c r="J150" s="482"/>
      <c r="K150" s="482"/>
      <c r="L150" s="482"/>
      <c r="M150" s="1351"/>
      <c r="N150" s="1351"/>
      <c r="O150" s="1351"/>
      <c r="P150" s="1351"/>
      <c r="Q150" s="944"/>
    </row>
    <row r="151" spans="2:17" ht="15.75" thickBot="1" x14ac:dyDescent="0.3">
      <c r="B151" s="394"/>
      <c r="C151" s="589" t="s">
        <v>1405</v>
      </c>
      <c r="D151" s="524"/>
      <c r="E151" s="1208"/>
      <c r="F151" s="1208"/>
      <c r="G151" s="1208"/>
      <c r="H151" s="1208"/>
      <c r="I151" s="446" t="s">
        <v>468</v>
      </c>
      <c r="J151" s="508" t="s">
        <v>469</v>
      </c>
      <c r="K151" s="509" t="s">
        <v>470</v>
      </c>
      <c r="L151" s="509" t="s">
        <v>471</v>
      </c>
      <c r="M151" s="509" t="s">
        <v>472</v>
      </c>
      <c r="N151" s="509" t="s">
        <v>473</v>
      </c>
      <c r="O151" s="509" t="s">
        <v>474</v>
      </c>
      <c r="P151" s="510" t="s">
        <v>475</v>
      </c>
      <c r="Q151" s="944"/>
    </row>
    <row r="152" spans="2:17" x14ac:dyDescent="0.25">
      <c r="B152" s="394"/>
      <c r="C152" s="2513" t="str">
        <f>IF(C70="Lender 1","",C70)</f>
        <v/>
      </c>
      <c r="D152" s="2502"/>
      <c r="E152" s="2502"/>
      <c r="F152" s="2502"/>
      <c r="G152" s="2502"/>
      <c r="H152" s="2503"/>
      <c r="I152" s="1916">
        <f>'8E(2)- 4%'!I153</f>
        <v>459280</v>
      </c>
      <c r="J152" s="1949">
        <f>'8E(2)- 4%'!J153</f>
        <v>459280</v>
      </c>
      <c r="K152" s="1949">
        <f>'8E(2)- 4%'!K153</f>
        <v>459280</v>
      </c>
      <c r="L152" s="1949">
        <f>'8E(2)- 4%'!L153</f>
        <v>459280</v>
      </c>
      <c r="M152" s="1949">
        <f>'8E(2)- 4%'!M153</f>
        <v>459280</v>
      </c>
      <c r="N152" s="1949">
        <f>'8E(2)- 4%'!N153</f>
        <v>459280</v>
      </c>
      <c r="O152" s="1949">
        <f>'8E(2)- 4%'!O153</f>
        <v>459280</v>
      </c>
      <c r="P152" s="1950">
        <f>'8E(2)- 4%'!P153</f>
        <v>459280</v>
      </c>
      <c r="Q152" s="944"/>
    </row>
    <row r="153" spans="2:17" x14ac:dyDescent="0.25">
      <c r="B153" s="394"/>
      <c r="C153" s="2498" t="str">
        <f>IF(C71="Lender 2","",C71)</f>
        <v/>
      </c>
      <c r="D153" s="2499"/>
      <c r="E153" s="2499"/>
      <c r="F153" s="2499"/>
      <c r="G153" s="2499"/>
      <c r="H153" s="2500"/>
      <c r="I153" s="1919">
        <f>'8E(2)- 4%'!I154</f>
        <v>0</v>
      </c>
      <c r="J153" s="1951">
        <f>'8E(2)- 4%'!J154</f>
        <v>0</v>
      </c>
      <c r="K153" s="1951">
        <f>'8E(2)- 4%'!K154</f>
        <v>0</v>
      </c>
      <c r="L153" s="1951">
        <f>'8E(2)- 4%'!L154</f>
        <v>0</v>
      </c>
      <c r="M153" s="1951">
        <f>'8E(2)- 4%'!M154</f>
        <v>0</v>
      </c>
      <c r="N153" s="1951">
        <f>'8E(2)- 4%'!N154</f>
        <v>0</v>
      </c>
      <c r="O153" s="1951">
        <f>'8E(2)- 4%'!O154</f>
        <v>0</v>
      </c>
      <c r="P153" s="1952">
        <f>'8E(2)- 4%'!P154</f>
        <v>0</v>
      </c>
      <c r="Q153" s="944"/>
    </row>
    <row r="154" spans="2:17" ht="15.75" thickBot="1" x14ac:dyDescent="0.3">
      <c r="B154" s="394"/>
      <c r="C154" s="2495" t="s">
        <v>460</v>
      </c>
      <c r="D154" s="2511"/>
      <c r="E154" s="2511"/>
      <c r="F154" s="2511"/>
      <c r="G154" s="2511"/>
      <c r="H154" s="2512"/>
      <c r="I154" s="1922">
        <f>'8E(2)- 4%'!I155</f>
        <v>0</v>
      </c>
      <c r="J154" s="1953">
        <f>'8E(2)- 4%'!J155</f>
        <v>0</v>
      </c>
      <c r="K154" s="1953">
        <f>'8E(2)- 4%'!K155</f>
        <v>0</v>
      </c>
      <c r="L154" s="1953">
        <f>'8E(2)- 4%'!L155</f>
        <v>0</v>
      </c>
      <c r="M154" s="1953">
        <f>'8E(2)- 4%'!M155</f>
        <v>0</v>
      </c>
      <c r="N154" s="1953">
        <f>'8E(2)- 4%'!N155</f>
        <v>0</v>
      </c>
      <c r="O154" s="1953">
        <f>'8E(2)- 4%'!O155</f>
        <v>0</v>
      </c>
      <c r="P154" s="1954">
        <f>'8E(2)- 4%'!P155</f>
        <v>0</v>
      </c>
      <c r="Q154" s="944"/>
    </row>
    <row r="155" spans="2:17" s="1868" customFormat="1" ht="3.75" customHeight="1" x14ac:dyDescent="0.25">
      <c r="B155" s="394"/>
      <c r="C155" s="1867"/>
      <c r="D155" s="1867"/>
      <c r="E155" s="1867"/>
      <c r="F155" s="1867"/>
      <c r="G155" s="1867"/>
      <c r="H155" s="1867"/>
      <c r="I155" s="1355"/>
      <c r="J155" s="1955"/>
      <c r="K155" s="1955"/>
      <c r="L155" s="1955"/>
      <c r="M155" s="1955"/>
      <c r="N155" s="1955"/>
      <c r="O155" s="1955"/>
      <c r="P155" s="1955"/>
      <c r="Q155" s="944"/>
    </row>
    <row r="156" spans="2:17" s="1868" customFormat="1" ht="15.75" thickBot="1" x14ac:dyDescent="0.3">
      <c r="B156" s="394"/>
      <c r="C156" s="1872" t="s">
        <v>1406</v>
      </c>
      <c r="D156" s="1867"/>
      <c r="E156" s="1867"/>
      <c r="F156" s="1867"/>
      <c r="G156" s="1867"/>
      <c r="H156" s="1867"/>
      <c r="I156" s="1355"/>
      <c r="J156" s="1955"/>
      <c r="K156" s="1955"/>
      <c r="L156" s="1955"/>
      <c r="M156" s="1955"/>
      <c r="N156" s="1955"/>
      <c r="O156" s="1955"/>
      <c r="P156" s="1955"/>
      <c r="Q156" s="944"/>
    </row>
    <row r="157" spans="2:17" x14ac:dyDescent="0.25">
      <c r="B157" s="394"/>
      <c r="C157" s="1869"/>
      <c r="D157" s="1870"/>
      <c r="E157" s="1870"/>
      <c r="F157" s="1870"/>
      <c r="G157" s="1870"/>
      <c r="H157" s="1871"/>
      <c r="I157" s="1930">
        <f>'8E(2)- 9%'!I153</f>
        <v>68005</v>
      </c>
      <c r="J157" s="1956">
        <f>'8E(2)- 9%'!J153</f>
        <v>68005</v>
      </c>
      <c r="K157" s="1956">
        <f>'8E(2)- 9%'!K153</f>
        <v>68005</v>
      </c>
      <c r="L157" s="1956">
        <f>'8E(2)- 9%'!L153</f>
        <v>68005</v>
      </c>
      <c r="M157" s="1956">
        <f>'8E(2)- 9%'!M153</f>
        <v>68005</v>
      </c>
      <c r="N157" s="1956">
        <f>'8E(2)- 9%'!N153</f>
        <v>68005</v>
      </c>
      <c r="O157" s="1956">
        <f>'8E(2)- 9%'!O153</f>
        <v>68005</v>
      </c>
      <c r="P157" s="1957">
        <f>'8E(2)- 9%'!P153</f>
        <v>68005</v>
      </c>
      <c r="Q157" s="944"/>
    </row>
    <row r="158" spans="2:17" x14ac:dyDescent="0.25">
      <c r="B158" s="394"/>
      <c r="C158" s="1864"/>
      <c r="D158" s="1865"/>
      <c r="E158" s="1865"/>
      <c r="F158" s="1865"/>
      <c r="G158" s="1865"/>
      <c r="H158" s="1866"/>
      <c r="I158" s="1936">
        <f>'8E(2)- 9%'!I154</f>
        <v>0</v>
      </c>
      <c r="J158" s="1958">
        <f>'8E(2)- 9%'!J154</f>
        <v>0</v>
      </c>
      <c r="K158" s="1958">
        <f>'8E(2)- 9%'!K154</f>
        <v>0</v>
      </c>
      <c r="L158" s="1958">
        <f>'8E(2)- 9%'!L154</f>
        <v>0</v>
      </c>
      <c r="M158" s="1958">
        <f>'8E(2)- 9%'!M154</f>
        <v>0</v>
      </c>
      <c r="N158" s="1958">
        <f>'8E(2)- 9%'!N154</f>
        <v>0</v>
      </c>
      <c r="O158" s="1958">
        <f>'8E(2)- 9%'!O154</f>
        <v>0</v>
      </c>
      <c r="P158" s="1959">
        <f>'8E(2)- 9%'!P154</f>
        <v>0</v>
      </c>
      <c r="Q158" s="944"/>
    </row>
    <row r="159" spans="2:17" ht="15.75" thickBot="1" x14ac:dyDescent="0.3">
      <c r="B159" s="394"/>
      <c r="C159" s="2495" t="s">
        <v>460</v>
      </c>
      <c r="D159" s="2511"/>
      <c r="E159" s="2511"/>
      <c r="F159" s="2511"/>
      <c r="G159" s="2511"/>
      <c r="H159" s="2512"/>
      <c r="I159" s="1922">
        <f>'8E(2)- 9%'!I155</f>
        <v>0</v>
      </c>
      <c r="J159" s="1953">
        <f>'8E(2)- 9%'!J155</f>
        <v>0</v>
      </c>
      <c r="K159" s="1953">
        <f>'8E(2)- 9%'!K155</f>
        <v>0</v>
      </c>
      <c r="L159" s="1953">
        <f>'8E(2)- 9%'!L155</f>
        <v>0</v>
      </c>
      <c r="M159" s="1953">
        <f>'8E(2)- 9%'!M155</f>
        <v>0</v>
      </c>
      <c r="N159" s="1953">
        <f>'8E(2)- 9%'!N155</f>
        <v>0</v>
      </c>
      <c r="O159" s="1953">
        <f>'8E(2)- 9%'!O155</f>
        <v>0</v>
      </c>
      <c r="P159" s="1954">
        <f>'8E(2)- 9%'!P155</f>
        <v>0</v>
      </c>
      <c r="Q159" s="944"/>
    </row>
    <row r="160" spans="2:17" ht="15.75" thickTop="1" x14ac:dyDescent="0.25">
      <c r="B160" s="394"/>
      <c r="C160" s="1208"/>
      <c r="D160" s="1208"/>
      <c r="E160" s="1352"/>
      <c r="F160" s="1353"/>
      <c r="G160" s="1353"/>
      <c r="H160" s="1354" t="s">
        <v>461</v>
      </c>
      <c r="I160" s="483">
        <f>SUM(I152:I159)</f>
        <v>527285</v>
      </c>
      <c r="J160" s="484">
        <f t="shared" ref="J160:P160" si="23">SUM(J152:J159)</f>
        <v>527285</v>
      </c>
      <c r="K160" s="484">
        <f t="shared" si="23"/>
        <v>527285</v>
      </c>
      <c r="L160" s="484">
        <f t="shared" si="23"/>
        <v>527285</v>
      </c>
      <c r="M160" s="484">
        <f t="shared" si="23"/>
        <v>527285</v>
      </c>
      <c r="N160" s="484">
        <f t="shared" si="23"/>
        <v>527285</v>
      </c>
      <c r="O160" s="484">
        <f t="shared" si="23"/>
        <v>527285</v>
      </c>
      <c r="P160" s="485">
        <f t="shared" si="23"/>
        <v>527285</v>
      </c>
      <c r="Q160" s="944"/>
    </row>
    <row r="161" spans="2:17" x14ac:dyDescent="0.25">
      <c r="B161" s="394"/>
      <c r="C161" s="1208"/>
      <c r="D161" s="1208"/>
      <c r="E161" s="1208"/>
      <c r="F161" s="1825"/>
      <c r="G161" s="1825"/>
      <c r="H161" s="1825" t="s">
        <v>462</v>
      </c>
      <c r="I161" s="2071">
        <f>IFERROR(I148/I160,"$0 ")</f>
        <v>1.3515008983675574</v>
      </c>
      <c r="J161" s="2072">
        <f t="shared" ref="J161:O161" si="24">IFERROR(J148/J160,"$0 ")</f>
        <v>1.3684618996114697</v>
      </c>
      <c r="K161" s="2072">
        <f t="shared" si="24"/>
        <v>1.3852867881199085</v>
      </c>
      <c r="L161" s="2072">
        <f t="shared" si="24"/>
        <v>1.4019519239360654</v>
      </c>
      <c r="M161" s="2072">
        <f t="shared" si="24"/>
        <v>1.4184323425116983</v>
      </c>
      <c r="N161" s="2072">
        <f t="shared" si="24"/>
        <v>1.4347016949049107</v>
      </c>
      <c r="O161" s="2072">
        <f t="shared" si="24"/>
        <v>1.4507321855083293</v>
      </c>
      <c r="P161" s="2076">
        <f>IFERROR(P148/P160,"$0 ")</f>
        <v>1.4664945072102413</v>
      </c>
      <c r="Q161" s="944"/>
    </row>
    <row r="162" spans="2:17" ht="15.75" thickBot="1" x14ac:dyDescent="0.3">
      <c r="B162" s="394"/>
      <c r="C162" s="1208"/>
      <c r="D162" s="1208"/>
      <c r="E162" s="2491" t="s">
        <v>463</v>
      </c>
      <c r="F162" s="2491"/>
      <c r="G162" s="2491"/>
      <c r="H162" s="2492"/>
      <c r="I162" s="486">
        <f>I148-I160</f>
        <v>185341.15119573753</v>
      </c>
      <c r="J162" s="487">
        <f t="shared" ref="J162:P162" si="25">J148-J160</f>
        <v>194284.43273663381</v>
      </c>
      <c r="K162" s="487">
        <f t="shared" si="25"/>
        <v>203155.94407380593</v>
      </c>
      <c r="L162" s="487">
        <f t="shared" si="25"/>
        <v>211943.22021262825</v>
      </c>
      <c r="M162" s="487">
        <f t="shared" si="25"/>
        <v>220633.09772128076</v>
      </c>
      <c r="N162" s="487">
        <f t="shared" si="25"/>
        <v>229211.68319793581</v>
      </c>
      <c r="O162" s="487">
        <f t="shared" si="25"/>
        <v>237664.32043575938</v>
      </c>
      <c r="P162" s="488">
        <f t="shared" si="25"/>
        <v>245975.55623435206</v>
      </c>
      <c r="Q162" s="944"/>
    </row>
    <row r="163" spans="2:17" ht="15.75" thickBot="1" x14ac:dyDescent="0.3">
      <c r="B163" s="394"/>
      <c r="C163" s="1208"/>
      <c r="D163" s="1208"/>
      <c r="E163" s="1208"/>
      <c r="F163" s="1208"/>
      <c r="G163" s="1208"/>
      <c r="H163" s="1208"/>
      <c r="I163" s="1208"/>
      <c r="J163" s="1208"/>
      <c r="K163" s="1208"/>
      <c r="L163" s="1208"/>
      <c r="M163" s="1208"/>
      <c r="N163" s="1208"/>
      <c r="O163" s="1208"/>
      <c r="P163" s="1208"/>
      <c r="Q163" s="944"/>
    </row>
    <row r="164" spans="2:17" ht="15.75" thickBot="1" x14ac:dyDescent="0.3">
      <c r="B164" s="394"/>
      <c r="C164" s="589" t="s">
        <v>464</v>
      </c>
      <c r="D164" s="1208"/>
      <c r="E164" s="762"/>
      <c r="F164" s="1208"/>
      <c r="G164" s="1208"/>
      <c r="H164" s="1208"/>
      <c r="I164" s="446" t="s">
        <v>468</v>
      </c>
      <c r="J164" s="508" t="s">
        <v>469</v>
      </c>
      <c r="K164" s="509" t="s">
        <v>470</v>
      </c>
      <c r="L164" s="509" t="s">
        <v>471</v>
      </c>
      <c r="M164" s="509" t="s">
        <v>472</v>
      </c>
      <c r="N164" s="509" t="s">
        <v>473</v>
      </c>
      <c r="O164" s="509" t="s">
        <v>474</v>
      </c>
      <c r="P164" s="510" t="s">
        <v>475</v>
      </c>
      <c r="Q164" s="944"/>
    </row>
    <row r="165" spans="2:17" ht="16.5" thickTop="1" thickBot="1" x14ac:dyDescent="0.3">
      <c r="B165" s="394"/>
      <c r="C165" s="1366"/>
      <c r="D165" s="590"/>
      <c r="E165" s="2491" t="s">
        <v>465</v>
      </c>
      <c r="F165" s="2504"/>
      <c r="G165" s="2504"/>
      <c r="H165" s="2505"/>
      <c r="I165" s="489">
        <f>'8E(2)- 4%'!I165+'8E(2)- 9%'!I165</f>
        <v>0</v>
      </c>
      <c r="J165" s="490">
        <f>'8E(2)- 4%'!J165+'8E(2)- 9%'!J165</f>
        <v>0</v>
      </c>
      <c r="K165" s="490">
        <f>'8E(2)- 4%'!K165+'8E(2)- 9%'!K165</f>
        <v>0</v>
      </c>
      <c r="L165" s="490">
        <f>'8E(2)- 4%'!L165+'8E(2)- 9%'!L165</f>
        <v>0</v>
      </c>
      <c r="M165" s="490">
        <f>'8E(2)- 4%'!M165+'8E(2)- 9%'!M165</f>
        <v>0</v>
      </c>
      <c r="N165" s="490">
        <f>'8E(2)- 4%'!N165+'8E(2)- 9%'!N165</f>
        <v>0</v>
      </c>
      <c r="O165" s="490">
        <f>'8E(2)- 4%'!O165+'8E(2)- 9%'!O165</f>
        <v>0</v>
      </c>
      <c r="P165" s="491">
        <f>'8E(2)- 4%'!P165+'8E(2)- 9%'!P165</f>
        <v>0</v>
      </c>
      <c r="Q165" s="944"/>
    </row>
    <row r="166" spans="2:17" ht="7.5" customHeight="1" thickBot="1" x14ac:dyDescent="0.3">
      <c r="B166" s="394"/>
      <c r="C166" s="942"/>
      <c r="D166" s="1825"/>
      <c r="E166" s="1208"/>
      <c r="F166" s="1208"/>
      <c r="G166" s="1208"/>
      <c r="H166" s="1208"/>
      <c r="I166" s="1208"/>
      <c r="J166" s="1208"/>
      <c r="K166" s="1208"/>
      <c r="L166" s="1208"/>
      <c r="M166" s="1208"/>
      <c r="N166" s="1208"/>
      <c r="O166" s="1208"/>
      <c r="P166" s="1208"/>
      <c r="Q166" s="944"/>
    </row>
    <row r="167" spans="2:17" x14ac:dyDescent="0.25">
      <c r="B167" s="394"/>
      <c r="C167" s="942"/>
      <c r="D167" s="1825"/>
      <c r="E167" s="2491" t="s">
        <v>466</v>
      </c>
      <c r="F167" s="2491"/>
      <c r="G167" s="2491"/>
      <c r="H167" s="2492"/>
      <c r="I167" s="2073">
        <f t="shared" ref="I167:P167" si="26">IFERROR(I148/(I160+I165),"$0 ")</f>
        <v>1.3515008983675574</v>
      </c>
      <c r="J167" s="2074">
        <f t="shared" si="26"/>
        <v>1.3684618996114697</v>
      </c>
      <c r="K167" s="2074">
        <f t="shared" si="26"/>
        <v>1.3852867881199085</v>
      </c>
      <c r="L167" s="2074">
        <f t="shared" si="26"/>
        <v>1.4019519239360654</v>
      </c>
      <c r="M167" s="2074">
        <f t="shared" si="26"/>
        <v>1.4184323425116983</v>
      </c>
      <c r="N167" s="2074">
        <f t="shared" si="26"/>
        <v>1.4347016949049107</v>
      </c>
      <c r="O167" s="2074">
        <f t="shared" si="26"/>
        <v>1.4507321855083293</v>
      </c>
      <c r="P167" s="2075">
        <f t="shared" si="26"/>
        <v>1.4664945072102413</v>
      </c>
      <c r="Q167" s="944"/>
    </row>
    <row r="168" spans="2:17" ht="15.75" thickBot="1" x14ac:dyDescent="0.3">
      <c r="B168" s="394"/>
      <c r="C168" s="811"/>
      <c r="D168" s="1825"/>
      <c r="E168" s="2491" t="s">
        <v>467</v>
      </c>
      <c r="F168" s="2493"/>
      <c r="G168" s="2493"/>
      <c r="H168" s="2494"/>
      <c r="I168" s="1356">
        <f t="shared" ref="I168:P168" si="27">I162-I165</f>
        <v>185341.15119573753</v>
      </c>
      <c r="J168" s="1358">
        <f t="shared" si="27"/>
        <v>194284.43273663381</v>
      </c>
      <c r="K168" s="1358">
        <f t="shared" si="27"/>
        <v>203155.94407380593</v>
      </c>
      <c r="L168" s="1358">
        <f t="shared" si="27"/>
        <v>211943.22021262825</v>
      </c>
      <c r="M168" s="1358">
        <f t="shared" si="27"/>
        <v>220633.09772128076</v>
      </c>
      <c r="N168" s="1358">
        <f t="shared" si="27"/>
        <v>229211.68319793581</v>
      </c>
      <c r="O168" s="1358">
        <f t="shared" si="27"/>
        <v>237664.32043575938</v>
      </c>
      <c r="P168" s="1359">
        <f t="shared" si="27"/>
        <v>245975.55623435206</v>
      </c>
      <c r="Q168" s="944"/>
    </row>
    <row r="169" spans="2:17" ht="9" customHeight="1" thickBot="1" x14ac:dyDescent="0.3">
      <c r="B169" s="1367"/>
      <c r="C169" s="698"/>
      <c r="D169" s="698"/>
      <c r="E169" s="698"/>
      <c r="F169" s="698"/>
      <c r="G169" s="698"/>
      <c r="H169" s="698"/>
      <c r="I169" s="698"/>
      <c r="J169" s="698"/>
      <c r="K169" s="698"/>
      <c r="L169" s="698"/>
      <c r="M169" s="698"/>
      <c r="N169" s="698"/>
      <c r="O169" s="698"/>
      <c r="P169" s="698"/>
      <c r="Q169" s="1368"/>
    </row>
  </sheetData>
  <sheetProtection password="9F6B" sheet="1" objects="1" scenarios="1" formatCells="0" formatColumns="0" formatRows="0"/>
  <mergeCells count="31">
    <mergeCell ref="E167:H167"/>
    <mergeCell ref="E168:H168"/>
    <mergeCell ref="C154:H154"/>
    <mergeCell ref="C72:G72"/>
    <mergeCell ref="H72:I72"/>
    <mergeCell ref="H75:I75"/>
    <mergeCell ref="H76:I76"/>
    <mergeCell ref="E162:H162"/>
    <mergeCell ref="E165:H165"/>
    <mergeCell ref="D101:F101"/>
    <mergeCell ref="D102:F102"/>
    <mergeCell ref="C150:E150"/>
    <mergeCell ref="C152:H152"/>
    <mergeCell ref="C153:H153"/>
    <mergeCell ref="C159:H159"/>
    <mergeCell ref="F83:I83"/>
    <mergeCell ref="F85:I85"/>
    <mergeCell ref="F86:I86"/>
    <mergeCell ref="C89:P89"/>
    <mergeCell ref="C71:G71"/>
    <mergeCell ref="H71:I71"/>
    <mergeCell ref="C77:G77"/>
    <mergeCell ref="H77:I77"/>
    <mergeCell ref="F80:I80"/>
    <mergeCell ref="H82:I82"/>
    <mergeCell ref="D19:F19"/>
    <mergeCell ref="D20:F20"/>
    <mergeCell ref="C68:E68"/>
    <mergeCell ref="H69:I69"/>
    <mergeCell ref="C70:G70"/>
    <mergeCell ref="H70:I70"/>
  </mergeCells>
  <pageMargins left="0.7" right="0.7" top="0.75" bottom="0.75" header="0.3" footer="0.3"/>
  <pageSetup paperSize="17" scale="90" fitToHeight="2" orientation="portrait" r:id="rId1"/>
  <headerFooter>
    <oddFooter>&amp;LForm 8E(2) ROLLUP
Operating Pro Forma&amp;CCFA Forms&amp;REdition: 2015
Version: 1.1</oddFooter>
  </headerFooter>
  <rowBreaks count="1" manualBreakCount="1">
    <brk id="87" min="1" max="16"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169"/>
  <sheetViews>
    <sheetView showGridLines="0" zoomScaleNormal="100" workbookViewId="0">
      <selection activeCell="J22" sqref="J22"/>
    </sheetView>
  </sheetViews>
  <sheetFormatPr defaultRowHeight="15" x14ac:dyDescent="0.25"/>
  <cols>
    <col min="1" max="2" width="1.7109375" style="839" customWidth="1"/>
    <col min="3" max="3" width="14.28515625" style="839" customWidth="1"/>
    <col min="4" max="4" width="9.140625" style="839" customWidth="1"/>
    <col min="5" max="6" width="9.140625" style="839"/>
    <col min="7" max="7" width="1.42578125" style="839" customWidth="1"/>
    <col min="8" max="16" width="9.140625" style="839"/>
    <col min="17" max="17" width="1.7109375" style="839" customWidth="1"/>
    <col min="18" max="16384" width="9.140625" style="839"/>
  </cols>
  <sheetData>
    <row r="7" spans="2:17" ht="15.75" thickBot="1" x14ac:dyDescent="0.3"/>
    <row r="8" spans="2:17" ht="9" customHeight="1" x14ac:dyDescent="0.25">
      <c r="B8" s="511"/>
      <c r="C8" s="512"/>
      <c r="D8" s="512"/>
      <c r="E8" s="512"/>
      <c r="F8" s="512"/>
      <c r="G8" s="512"/>
      <c r="H8" s="512"/>
      <c r="I8" s="512"/>
      <c r="J8" s="512"/>
      <c r="K8" s="512"/>
      <c r="L8" s="512"/>
      <c r="M8" s="512"/>
      <c r="N8" s="512"/>
      <c r="O8" s="512"/>
      <c r="P8" s="512"/>
      <c r="Q8" s="513"/>
    </row>
    <row r="9" spans="2:17" ht="18.75" x14ac:dyDescent="0.3">
      <c r="B9" s="514"/>
      <c r="C9" s="2225" t="s">
        <v>1387</v>
      </c>
      <c r="D9" s="2225"/>
      <c r="E9" s="2225"/>
      <c r="F9" s="2225"/>
      <c r="G9" s="2225"/>
      <c r="H9" s="2225"/>
      <c r="I9" s="2225"/>
      <c r="J9" s="2225"/>
      <c r="K9" s="2225"/>
      <c r="L9" s="2225"/>
      <c r="M9" s="2225"/>
      <c r="N9" s="2225"/>
      <c r="O9" s="2225"/>
      <c r="P9" s="2225"/>
      <c r="Q9" s="516"/>
    </row>
    <row r="10" spans="2:17" x14ac:dyDescent="0.25">
      <c r="B10" s="514"/>
      <c r="C10" s="515"/>
      <c r="D10" s="515"/>
      <c r="E10" s="515"/>
      <c r="F10" s="515"/>
      <c r="G10" s="515"/>
      <c r="H10" s="515"/>
      <c r="I10" s="515"/>
      <c r="J10" s="515"/>
      <c r="K10" s="515"/>
      <c r="L10" s="515"/>
      <c r="M10" s="515"/>
      <c r="N10" s="515"/>
      <c r="O10" s="515"/>
      <c r="P10" s="515"/>
      <c r="Q10" s="516"/>
    </row>
    <row r="11" spans="2:17" x14ac:dyDescent="0.25">
      <c r="B11" s="514"/>
      <c r="C11" s="1123" t="s">
        <v>59</v>
      </c>
      <c r="D11" s="1122" t="str">
        <f>IF('1A'!G5="","Enter Project Name on Form 1A",'1A'!G5)</f>
        <v>University District Apartments</v>
      </c>
      <c r="E11" s="1122"/>
      <c r="F11" s="1122"/>
      <c r="G11" s="1122"/>
      <c r="H11" s="1122"/>
      <c r="I11" s="1122"/>
      <c r="J11" s="1122"/>
      <c r="K11" s="1208"/>
      <c r="M11" s="1385" t="s">
        <v>402</v>
      </c>
      <c r="N11" s="1370">
        <v>42262</v>
      </c>
      <c r="O11" s="1123"/>
      <c r="P11" s="1123"/>
      <c r="Q11" s="516"/>
    </row>
    <row r="12" spans="2:17" ht="3.75" customHeight="1" x14ac:dyDescent="0.25">
      <c r="B12" s="514"/>
      <c r="C12" s="1123"/>
      <c r="D12" s="1123"/>
      <c r="E12" s="1123"/>
      <c r="F12" s="1123"/>
      <c r="G12" s="1123"/>
      <c r="H12" s="1123"/>
      <c r="I12" s="1123"/>
      <c r="J12" s="1208"/>
      <c r="K12" s="1208"/>
      <c r="L12" s="1208"/>
      <c r="M12" s="1208"/>
      <c r="N12" s="1123"/>
      <c r="O12" s="1123"/>
      <c r="P12" s="1123"/>
      <c r="Q12" s="516"/>
    </row>
    <row r="13" spans="2:17" x14ac:dyDescent="0.25">
      <c r="B13" s="517"/>
      <c r="C13" s="1123" t="s">
        <v>1400</v>
      </c>
      <c r="D13" s="1822" t="str">
        <f>IF('1A'!G29="","Enter Site Name on Form 1A",'1A'!G29)</f>
        <v>Project A-  4%</v>
      </c>
      <c r="E13" s="1822"/>
      <c r="F13" s="1822"/>
      <c r="G13" s="1822"/>
      <c r="H13" s="1822"/>
      <c r="I13" s="1822"/>
      <c r="J13" s="1822"/>
      <c r="K13" s="519"/>
      <c r="L13" s="519"/>
      <c r="M13" s="519"/>
      <c r="N13" s="519"/>
      <c r="O13" s="520"/>
      <c r="P13" s="519"/>
      <c r="Q13" s="521"/>
    </row>
    <row r="14" spans="2:17" ht="7.5" customHeight="1" x14ac:dyDescent="0.25">
      <c r="B14" s="517"/>
      <c r="C14" s="522"/>
      <c r="D14" s="519"/>
      <c r="E14" s="518"/>
      <c r="F14" s="518"/>
      <c r="G14" s="518"/>
      <c r="H14" s="518"/>
      <c r="I14" s="518"/>
      <c r="J14" s="519"/>
      <c r="K14" s="519"/>
      <c r="L14" s="519"/>
      <c r="M14" s="519"/>
      <c r="N14" s="519"/>
      <c r="O14" s="520"/>
      <c r="P14" s="519"/>
      <c r="Q14" s="521"/>
    </row>
    <row r="15" spans="2:17" ht="15.75" thickBot="1" x14ac:dyDescent="0.3">
      <c r="B15" s="523"/>
      <c r="C15" s="592" t="s">
        <v>403</v>
      </c>
      <c r="D15" s="443"/>
      <c r="E15" s="444"/>
      <c r="F15" s="444"/>
      <c r="G15" s="444"/>
      <c r="H15" s="444"/>
      <c r="I15" s="444"/>
      <c r="J15" s="443"/>
      <c r="K15" s="443"/>
      <c r="L15" s="443"/>
      <c r="M15" s="443"/>
      <c r="N15" s="443"/>
      <c r="O15" s="445"/>
      <c r="P15" s="443"/>
      <c r="Q15" s="525"/>
    </row>
    <row r="16" spans="2:17" ht="15.75" thickBot="1" x14ac:dyDescent="0.3">
      <c r="B16" s="394"/>
      <c r="C16" s="1208"/>
      <c r="D16" s="515"/>
      <c r="E16" s="1208"/>
      <c r="F16" s="1208"/>
      <c r="G16" s="1208"/>
      <c r="H16" s="1208"/>
      <c r="I16" s="1208"/>
      <c r="J16" s="446" t="s">
        <v>404</v>
      </c>
      <c r="K16" s="447" t="s">
        <v>405</v>
      </c>
      <c r="L16" s="447" t="s">
        <v>406</v>
      </c>
      <c r="M16" s="447" t="s">
        <v>407</v>
      </c>
      <c r="N16" s="447" t="s">
        <v>408</v>
      </c>
      <c r="O16" s="447" t="s">
        <v>409</v>
      </c>
      <c r="P16" s="448" t="s">
        <v>410</v>
      </c>
      <c r="Q16" s="355"/>
    </row>
    <row r="17" spans="2:17" ht="15.75" thickBot="1" x14ac:dyDescent="0.3">
      <c r="B17" s="394"/>
      <c r="C17" s="524" t="s">
        <v>411</v>
      </c>
      <c r="D17" s="354"/>
      <c r="E17" s="1208"/>
      <c r="F17" s="1208"/>
      <c r="G17" s="1208"/>
      <c r="H17" s="449" t="s">
        <v>412</v>
      </c>
      <c r="I17" s="1208"/>
      <c r="J17" s="450"/>
      <c r="K17" s="451"/>
      <c r="L17" s="451"/>
      <c r="M17" s="451"/>
      <c r="N17" s="451"/>
      <c r="O17" s="451"/>
      <c r="P17" s="452"/>
      <c r="Q17" s="355"/>
    </row>
    <row r="18" spans="2:17" x14ac:dyDescent="0.25">
      <c r="B18" s="394"/>
      <c r="C18" s="526" t="s">
        <v>413</v>
      </c>
      <c r="D18" s="1327"/>
      <c r="E18" s="1327"/>
      <c r="F18" s="1327"/>
      <c r="G18" s="1328"/>
      <c r="H18" s="1659">
        <v>2.5000000000000001E-2</v>
      </c>
      <c r="I18" s="1329"/>
      <c r="J18" s="1806">
        <f>'8A - 4%'!L25</f>
        <v>1003764</v>
      </c>
      <c r="K18" s="527">
        <f t="shared" ref="K18:P18" si="0">J18+(J18*$H18)</f>
        <v>1028858.1</v>
      </c>
      <c r="L18" s="527">
        <f t="shared" si="0"/>
        <v>1054579.5525</v>
      </c>
      <c r="M18" s="527">
        <f t="shared" si="0"/>
        <v>1080944.0413124999</v>
      </c>
      <c r="N18" s="527">
        <f t="shared" si="0"/>
        <v>1107967.6423453125</v>
      </c>
      <c r="O18" s="527">
        <f t="shared" si="0"/>
        <v>1135666.8334039454</v>
      </c>
      <c r="P18" s="528">
        <f t="shared" si="0"/>
        <v>1164058.5042390442</v>
      </c>
      <c r="Q18" s="355"/>
    </row>
    <row r="19" spans="2:17" ht="15.75" thickBot="1" x14ac:dyDescent="0.3">
      <c r="B19" s="394"/>
      <c r="C19" s="529" t="s">
        <v>361</v>
      </c>
      <c r="D19" s="530"/>
      <c r="E19" s="1330"/>
      <c r="F19" s="1330"/>
      <c r="G19" s="1331"/>
      <c r="H19" s="1372"/>
      <c r="I19" s="1332"/>
      <c r="J19" s="788"/>
      <c r="K19" s="1373"/>
      <c r="L19" s="1373"/>
      <c r="M19" s="1373"/>
      <c r="N19" s="1373"/>
      <c r="O19" s="1373"/>
      <c r="P19" s="1374"/>
      <c r="Q19" s="355"/>
    </row>
    <row r="20" spans="2:17" ht="15.75" thickBot="1" x14ac:dyDescent="0.3">
      <c r="B20" s="394"/>
      <c r="C20" s="529" t="s">
        <v>371</v>
      </c>
      <c r="D20" s="531"/>
      <c r="E20" s="1333"/>
      <c r="F20" s="1333"/>
      <c r="G20" s="354"/>
      <c r="H20" s="1334"/>
      <c r="I20" s="1331"/>
      <c r="J20" s="1807">
        <f>'8B - 4%'!H30</f>
        <v>0</v>
      </c>
      <c r="K20" s="527">
        <v>0</v>
      </c>
      <c r="L20" s="527">
        <v>0</v>
      </c>
      <c r="M20" s="527">
        <v>0</v>
      </c>
      <c r="N20" s="527">
        <v>0</v>
      </c>
      <c r="O20" s="527">
        <v>0</v>
      </c>
      <c r="P20" s="528">
        <v>0</v>
      </c>
      <c r="Q20" s="355"/>
    </row>
    <row r="21" spans="2:17" x14ac:dyDescent="0.25">
      <c r="B21" s="394"/>
      <c r="C21" s="529" t="s">
        <v>414</v>
      </c>
      <c r="D21" s="2535" t="s">
        <v>1577</v>
      </c>
      <c r="E21" s="2536"/>
      <c r="F21" s="2537"/>
      <c r="G21" s="354"/>
      <c r="H21" s="1659">
        <v>0</v>
      </c>
      <c r="I21" s="1332"/>
      <c r="J21" s="1662">
        <v>10000</v>
      </c>
      <c r="K21" s="527">
        <f t="shared" ref="K21:P21" si="1">J21+(J21*$H21)</f>
        <v>10000</v>
      </c>
      <c r="L21" s="527">
        <f>K21+(K21*$H21)</f>
        <v>10000</v>
      </c>
      <c r="M21" s="527">
        <f t="shared" si="1"/>
        <v>10000</v>
      </c>
      <c r="N21" s="527">
        <f t="shared" si="1"/>
        <v>10000</v>
      </c>
      <c r="O21" s="527">
        <f t="shared" si="1"/>
        <v>10000</v>
      </c>
      <c r="P21" s="528">
        <f t="shared" si="1"/>
        <v>10000</v>
      </c>
      <c r="Q21" s="355"/>
    </row>
    <row r="22" spans="2:17" ht="15.75" thickBot="1" x14ac:dyDescent="0.3">
      <c r="B22" s="394"/>
      <c r="C22" s="529" t="s">
        <v>414</v>
      </c>
      <c r="D22" s="2535" t="s">
        <v>1579</v>
      </c>
      <c r="E22" s="2536"/>
      <c r="F22" s="2537"/>
      <c r="G22" s="354"/>
      <c r="H22" s="1661">
        <v>0</v>
      </c>
      <c r="I22" s="1332"/>
      <c r="J22" s="1663">
        <f>6000+12290</f>
        <v>18290</v>
      </c>
      <c r="K22" s="527">
        <f t="shared" ref="K22:P22" si="2">J22+(J22*$H22)</f>
        <v>18290</v>
      </c>
      <c r="L22" s="527">
        <f t="shared" si="2"/>
        <v>18290</v>
      </c>
      <c r="M22" s="527">
        <f t="shared" si="2"/>
        <v>18290</v>
      </c>
      <c r="N22" s="527">
        <f t="shared" si="2"/>
        <v>18290</v>
      </c>
      <c r="O22" s="527">
        <f t="shared" si="2"/>
        <v>18290</v>
      </c>
      <c r="P22" s="528">
        <f t="shared" si="2"/>
        <v>18290</v>
      </c>
      <c r="Q22" s="355"/>
    </row>
    <row r="23" spans="2:17" x14ac:dyDescent="0.25">
      <c r="B23" s="394"/>
      <c r="C23" s="532" t="s">
        <v>415</v>
      </c>
      <c r="D23" s="1208"/>
      <c r="E23" s="1208"/>
      <c r="F23" s="1208"/>
      <c r="G23" s="1208"/>
      <c r="H23" s="1208"/>
      <c r="I23" s="533" t="s">
        <v>416</v>
      </c>
      <c r="J23" s="453">
        <f>SUM(J18:J22)</f>
        <v>1032054</v>
      </c>
      <c r="K23" s="454">
        <f t="shared" ref="K23:P23" si="3">SUM(K18:K22)</f>
        <v>1057148.1000000001</v>
      </c>
      <c r="L23" s="454">
        <f t="shared" si="3"/>
        <v>1082869.5525</v>
      </c>
      <c r="M23" s="454">
        <f t="shared" si="3"/>
        <v>1109234.0413124999</v>
      </c>
      <c r="N23" s="454">
        <f t="shared" si="3"/>
        <v>1136257.6423453125</v>
      </c>
      <c r="O23" s="454">
        <f t="shared" si="3"/>
        <v>1163956.8334039454</v>
      </c>
      <c r="P23" s="455">
        <f t="shared" si="3"/>
        <v>1192348.5042390442</v>
      </c>
      <c r="Q23" s="355"/>
    </row>
    <row r="24" spans="2:17" x14ac:dyDescent="0.25">
      <c r="B24" s="394"/>
      <c r="C24" s="532"/>
      <c r="D24" s="533"/>
      <c r="E24" s="1208"/>
      <c r="F24" s="1208"/>
      <c r="G24" s="1208"/>
      <c r="H24" s="1208"/>
      <c r="I24" s="1208"/>
      <c r="J24" s="456"/>
      <c r="K24" s="457"/>
      <c r="L24" s="457"/>
      <c r="M24" s="457"/>
      <c r="N24" s="457"/>
      <c r="O24" s="457"/>
      <c r="P24" s="458"/>
      <c r="Q24" s="355"/>
    </row>
    <row r="25" spans="2:17" x14ac:dyDescent="0.25">
      <c r="B25" s="394"/>
      <c r="C25" s="532" t="s">
        <v>417</v>
      </c>
      <c r="D25" s="534"/>
      <c r="E25" s="1208"/>
      <c r="F25" s="1208"/>
      <c r="G25" s="1208"/>
      <c r="H25" s="1335"/>
      <c r="I25" s="354"/>
      <c r="J25" s="1662">
        <f>'8B - 4%'!H38</f>
        <v>0</v>
      </c>
      <c r="K25" s="1664">
        <v>0</v>
      </c>
      <c r="L25" s="1664">
        <v>0</v>
      </c>
      <c r="M25" s="1664">
        <v>0</v>
      </c>
      <c r="N25" s="1664">
        <v>0</v>
      </c>
      <c r="O25" s="1664">
        <v>0</v>
      </c>
      <c r="P25" s="1665">
        <v>0</v>
      </c>
      <c r="Q25" s="355"/>
    </row>
    <row r="26" spans="2:17" x14ac:dyDescent="0.25">
      <c r="B26" s="394"/>
      <c r="C26" s="532"/>
      <c r="D26" s="534"/>
      <c r="E26" s="1208"/>
      <c r="F26" s="1208"/>
      <c r="G26" s="1208"/>
      <c r="H26" s="1208"/>
      <c r="I26" s="1208"/>
      <c r="J26" s="456"/>
      <c r="K26" s="457"/>
      <c r="L26" s="457"/>
      <c r="M26" s="457"/>
      <c r="N26" s="457"/>
      <c r="O26" s="457"/>
      <c r="P26" s="458"/>
      <c r="Q26" s="355"/>
    </row>
    <row r="27" spans="2:17" ht="15.75" thickBot="1" x14ac:dyDescent="0.3">
      <c r="B27" s="394"/>
      <c r="C27" s="535" t="s">
        <v>418</v>
      </c>
      <c r="D27" s="536"/>
      <c r="E27" s="1336"/>
      <c r="F27" s="1336"/>
      <c r="G27" s="1336"/>
      <c r="H27" s="1337"/>
      <c r="I27" s="1338"/>
      <c r="J27" s="1666">
        <v>0</v>
      </c>
      <c r="K27" s="1667">
        <v>0</v>
      </c>
      <c r="L27" s="1667">
        <v>0</v>
      </c>
      <c r="M27" s="1667">
        <v>0</v>
      </c>
      <c r="N27" s="1667">
        <v>0</v>
      </c>
      <c r="O27" s="1667">
        <v>0</v>
      </c>
      <c r="P27" s="1668">
        <v>0</v>
      </c>
      <c r="Q27" s="355"/>
    </row>
    <row r="28" spans="2:17" ht="15.75" thickTop="1" x14ac:dyDescent="0.25">
      <c r="B28" s="394"/>
      <c r="C28" s="524" t="s">
        <v>419</v>
      </c>
      <c r="D28" s="1208"/>
      <c r="E28" s="1208"/>
      <c r="F28" s="1208"/>
      <c r="G28" s="1208"/>
      <c r="H28" s="1208"/>
      <c r="I28" s="534" t="s">
        <v>416</v>
      </c>
      <c r="J28" s="459">
        <f>J23+J25+J27</f>
        <v>1032054</v>
      </c>
      <c r="K28" s="460">
        <f t="shared" ref="K28:P28" si="4">K23+K25+K27</f>
        <v>1057148.1000000001</v>
      </c>
      <c r="L28" s="460">
        <f t="shared" si="4"/>
        <v>1082869.5525</v>
      </c>
      <c r="M28" s="460">
        <f t="shared" si="4"/>
        <v>1109234.0413124999</v>
      </c>
      <c r="N28" s="460">
        <f t="shared" si="4"/>
        <v>1136257.6423453125</v>
      </c>
      <c r="O28" s="460">
        <f t="shared" si="4"/>
        <v>1163956.8334039454</v>
      </c>
      <c r="P28" s="461">
        <f t="shared" si="4"/>
        <v>1192348.5042390442</v>
      </c>
      <c r="Q28" s="355"/>
    </row>
    <row r="29" spans="2:17" ht="15.75" thickBot="1" x14ac:dyDescent="0.3">
      <c r="B29" s="394"/>
      <c r="C29" s="524"/>
      <c r="D29" s="1208"/>
      <c r="E29" s="1208"/>
      <c r="F29" s="1208"/>
      <c r="G29" s="1208"/>
      <c r="H29" s="537" t="s">
        <v>420</v>
      </c>
      <c r="I29" s="1208"/>
      <c r="J29" s="456"/>
      <c r="K29" s="457"/>
      <c r="L29" s="457"/>
      <c r="M29" s="457"/>
      <c r="N29" s="457"/>
      <c r="O29" s="457"/>
      <c r="P29" s="458"/>
      <c r="Q29" s="355"/>
    </row>
    <row r="30" spans="2:17" x14ac:dyDescent="0.25">
      <c r="B30" s="394"/>
      <c r="C30" s="538" t="s">
        <v>421</v>
      </c>
      <c r="D30" s="1327"/>
      <c r="E30" s="1327"/>
      <c r="F30" s="1327"/>
      <c r="G30" s="1328"/>
      <c r="H30" s="1659">
        <v>0.05</v>
      </c>
      <c r="I30" s="1329"/>
      <c r="J30" s="1339">
        <f>-J23*$H30</f>
        <v>-51602.700000000004</v>
      </c>
      <c r="K30" s="1340">
        <f t="shared" ref="K30:P30" si="5">-K23*$H30</f>
        <v>-52857.405000000006</v>
      </c>
      <c r="L30" s="1340">
        <f t="shared" si="5"/>
        <v>-54143.477625</v>
      </c>
      <c r="M30" s="1340">
        <f t="shared" si="5"/>
        <v>-55461.702065624995</v>
      </c>
      <c r="N30" s="1340">
        <f t="shared" si="5"/>
        <v>-56812.882117265632</v>
      </c>
      <c r="O30" s="1340">
        <f t="shared" si="5"/>
        <v>-58197.841670197275</v>
      </c>
      <c r="P30" s="1341">
        <f t="shared" si="5"/>
        <v>-59617.425211952213</v>
      </c>
      <c r="Q30" s="355"/>
    </row>
    <row r="31" spans="2:17" ht="15.75" thickBot="1" x14ac:dyDescent="0.3">
      <c r="B31" s="394"/>
      <c r="C31" s="539" t="s">
        <v>422</v>
      </c>
      <c r="D31" s="1336"/>
      <c r="E31" s="1336"/>
      <c r="F31" s="1336"/>
      <c r="G31" s="1336"/>
      <c r="H31" s="1669">
        <v>0.1</v>
      </c>
      <c r="I31" s="1342"/>
      <c r="J31" s="1343">
        <f>-J27*$H31</f>
        <v>0</v>
      </c>
      <c r="K31" s="1344">
        <f t="shared" ref="K31:P31" si="6">-K27*$H31</f>
        <v>0</v>
      </c>
      <c r="L31" s="1344">
        <f t="shared" si="6"/>
        <v>0</v>
      </c>
      <c r="M31" s="1344">
        <f t="shared" si="6"/>
        <v>0</v>
      </c>
      <c r="N31" s="1344">
        <f t="shared" si="6"/>
        <v>0</v>
      </c>
      <c r="O31" s="1344">
        <f t="shared" si="6"/>
        <v>0</v>
      </c>
      <c r="P31" s="1345">
        <f t="shared" si="6"/>
        <v>0</v>
      </c>
      <c r="Q31" s="355"/>
    </row>
    <row r="32" spans="2:17" ht="16.5" thickTop="1" thickBot="1" x14ac:dyDescent="0.3">
      <c r="B32" s="394"/>
      <c r="C32" s="540" t="s">
        <v>423</v>
      </c>
      <c r="D32" s="1208"/>
      <c r="E32" s="1208"/>
      <c r="F32" s="1208"/>
      <c r="G32" s="1208"/>
      <c r="H32" s="1208"/>
      <c r="I32" s="533" t="s">
        <v>416</v>
      </c>
      <c r="J32" s="1714">
        <f>J28+J30+J31</f>
        <v>980451.3</v>
      </c>
      <c r="K32" s="1715">
        <f t="shared" ref="K32:P32" si="7">K28+K30+K31</f>
        <v>1004290.6950000001</v>
      </c>
      <c r="L32" s="1715">
        <f t="shared" si="7"/>
        <v>1028726.0748749999</v>
      </c>
      <c r="M32" s="1715">
        <f t="shared" si="7"/>
        <v>1053772.3392468749</v>
      </c>
      <c r="N32" s="1715">
        <f t="shared" si="7"/>
        <v>1079444.7602280469</v>
      </c>
      <c r="O32" s="1715">
        <f t="shared" si="7"/>
        <v>1105758.9917337482</v>
      </c>
      <c r="P32" s="1716">
        <f t="shared" si="7"/>
        <v>1132731.0790270919</v>
      </c>
      <c r="Q32" s="355"/>
    </row>
    <row r="33" spans="2:17" ht="7.5" customHeight="1" x14ac:dyDescent="0.25">
      <c r="B33" s="394"/>
      <c r="C33" s="354"/>
      <c r="D33" s="354"/>
      <c r="E33" s="1208"/>
      <c r="F33" s="1208"/>
      <c r="G33" s="1208"/>
      <c r="H33" s="1208"/>
      <c r="I33" s="1208"/>
      <c r="J33" s="354"/>
      <c r="K33" s="354"/>
      <c r="L33" s="354"/>
      <c r="M33" s="354"/>
      <c r="N33" s="354"/>
      <c r="O33" s="354"/>
      <c r="P33" s="354"/>
      <c r="Q33" s="355"/>
    </row>
    <row r="34" spans="2:17" ht="15.75" thickBot="1" x14ac:dyDescent="0.3">
      <c r="B34" s="517"/>
      <c r="C34" s="593" t="s">
        <v>424</v>
      </c>
      <c r="D34" s="463"/>
      <c r="E34" s="463"/>
      <c r="F34" s="463"/>
      <c r="G34" s="463"/>
      <c r="H34" s="463"/>
      <c r="I34" s="463"/>
      <c r="J34" s="463"/>
      <c r="K34" s="463"/>
      <c r="L34" s="463"/>
      <c r="M34" s="464"/>
      <c r="N34" s="463"/>
      <c r="O34" s="463"/>
      <c r="P34" s="463"/>
      <c r="Q34" s="521"/>
    </row>
    <row r="35" spans="2:17" ht="36.75" thickBot="1" x14ac:dyDescent="0.3">
      <c r="B35" s="517"/>
      <c r="C35" s="524" t="s">
        <v>425</v>
      </c>
      <c r="D35" s="515"/>
      <c r="E35" s="532"/>
      <c r="F35" s="541" t="s">
        <v>412</v>
      </c>
      <c r="G35" s="542"/>
      <c r="H35" s="518"/>
      <c r="I35" s="465" t="s">
        <v>426</v>
      </c>
      <c r="J35" s="446" t="s">
        <v>404</v>
      </c>
      <c r="K35" s="447" t="s">
        <v>405</v>
      </c>
      <c r="L35" s="447" t="s">
        <v>406</v>
      </c>
      <c r="M35" s="447" t="s">
        <v>407</v>
      </c>
      <c r="N35" s="447" t="s">
        <v>408</v>
      </c>
      <c r="O35" s="447" t="s">
        <v>409</v>
      </c>
      <c r="P35" s="448" t="s">
        <v>410</v>
      </c>
      <c r="Q35" s="516"/>
    </row>
    <row r="36" spans="2:17" x14ac:dyDescent="0.25">
      <c r="B36" s="517"/>
      <c r="C36" s="543" t="s">
        <v>427</v>
      </c>
      <c r="D36" s="544"/>
      <c r="E36" s="545"/>
      <c r="F36" s="1659">
        <v>3.5000000000000003E-2</v>
      </c>
      <c r="G36" s="1346"/>
      <c r="H36" s="546"/>
      <c r="I36" s="466">
        <f>IFERROR(J36/'1B - 4%'!$L$23,"")</f>
        <v>1201.4081249999999</v>
      </c>
      <c r="J36" s="547">
        <f>'8C - 4%'!K22</f>
        <v>96112.65</v>
      </c>
      <c r="K36" s="548">
        <f t="shared" ref="K36:P36" si="8">J36+(J36*$F36)</f>
        <v>99476.592749999996</v>
      </c>
      <c r="L36" s="548">
        <f t="shared" si="8"/>
        <v>102958.27349625</v>
      </c>
      <c r="M36" s="548">
        <f t="shared" si="8"/>
        <v>106561.81306861875</v>
      </c>
      <c r="N36" s="548">
        <f t="shared" si="8"/>
        <v>110291.4765260204</v>
      </c>
      <c r="O36" s="548">
        <f t="shared" si="8"/>
        <v>114151.67820443111</v>
      </c>
      <c r="P36" s="549">
        <f t="shared" si="8"/>
        <v>118146.9869415862</v>
      </c>
      <c r="Q36" s="516"/>
    </row>
    <row r="37" spans="2:17" x14ac:dyDescent="0.25">
      <c r="B37" s="550"/>
      <c r="C37" s="551" t="s">
        <v>428</v>
      </c>
      <c r="D37" s="552"/>
      <c r="E37" s="553"/>
      <c r="F37" s="1670">
        <v>2.5000000000000001E-2</v>
      </c>
      <c r="G37" s="1347"/>
      <c r="H37" s="554"/>
      <c r="I37" s="467">
        <f>IFERROR(J37/'1B - 4%'!$L$23,"")</f>
        <v>734.9</v>
      </c>
      <c r="J37" s="555">
        <v>58792</v>
      </c>
      <c r="K37" s="556">
        <f t="shared" ref="K37:P52" si="9">J37+(J37*$F37)</f>
        <v>60261.8</v>
      </c>
      <c r="L37" s="556">
        <f t="shared" si="9"/>
        <v>61768.345000000001</v>
      </c>
      <c r="M37" s="556">
        <f t="shared" si="9"/>
        <v>63312.553625</v>
      </c>
      <c r="N37" s="556">
        <f t="shared" si="9"/>
        <v>64895.367465625</v>
      </c>
      <c r="O37" s="556">
        <f t="shared" si="9"/>
        <v>66517.751652265622</v>
      </c>
      <c r="P37" s="557">
        <f t="shared" si="9"/>
        <v>68180.695443572258</v>
      </c>
      <c r="Q37" s="516"/>
    </row>
    <row r="38" spans="2:17" x14ac:dyDescent="0.25">
      <c r="B38" s="517"/>
      <c r="C38" s="551" t="s">
        <v>429</v>
      </c>
      <c r="D38" s="552"/>
      <c r="E38" s="553"/>
      <c r="F38" s="1670">
        <v>3.5000000000000003E-2</v>
      </c>
      <c r="G38" s="1347"/>
      <c r="H38" s="554"/>
      <c r="I38" s="467">
        <f>IFERROR(J38/'1B - 4%'!$L$23,"")</f>
        <v>106.25</v>
      </c>
      <c r="J38" s="555">
        <f>'8E- 4%'!J48</f>
        <v>8500</v>
      </c>
      <c r="K38" s="556">
        <f t="shared" si="9"/>
        <v>8797.5</v>
      </c>
      <c r="L38" s="556">
        <f t="shared" si="9"/>
        <v>9105.4125000000004</v>
      </c>
      <c r="M38" s="556">
        <f t="shared" si="9"/>
        <v>9424.1019374999996</v>
      </c>
      <c r="N38" s="556">
        <f t="shared" si="9"/>
        <v>9753.9455053125002</v>
      </c>
      <c r="O38" s="556">
        <f t="shared" si="9"/>
        <v>10095.333597998439</v>
      </c>
      <c r="P38" s="557">
        <f t="shared" si="9"/>
        <v>10448.670273928385</v>
      </c>
      <c r="Q38" s="516"/>
    </row>
    <row r="39" spans="2:17" x14ac:dyDescent="0.25">
      <c r="B39" s="517"/>
      <c r="C39" s="551" t="s">
        <v>430</v>
      </c>
      <c r="D39" s="553"/>
      <c r="E39" s="552"/>
      <c r="F39" s="1670">
        <v>3.5000000000000003E-2</v>
      </c>
      <c r="G39" s="1347"/>
      <c r="H39" s="554"/>
      <c r="I39" s="467">
        <f>IFERROR(J39/'1B - 4%'!$L$23,"")</f>
        <v>20</v>
      </c>
      <c r="J39" s="555">
        <f>'8E- 4%'!J49</f>
        <v>1600</v>
      </c>
      <c r="K39" s="556">
        <f t="shared" si="9"/>
        <v>1656</v>
      </c>
      <c r="L39" s="556">
        <f t="shared" si="9"/>
        <v>1713.96</v>
      </c>
      <c r="M39" s="556">
        <f t="shared" si="9"/>
        <v>1773.9485999999999</v>
      </c>
      <c r="N39" s="556">
        <f t="shared" si="9"/>
        <v>1836.036801</v>
      </c>
      <c r="O39" s="556">
        <f t="shared" si="9"/>
        <v>1900.298089035</v>
      </c>
      <c r="P39" s="557">
        <f t="shared" si="9"/>
        <v>1966.8085221512249</v>
      </c>
      <c r="Q39" s="516"/>
    </row>
    <row r="40" spans="2:17" x14ac:dyDescent="0.25">
      <c r="B40" s="517"/>
      <c r="C40" s="551" t="s">
        <v>431</v>
      </c>
      <c r="D40" s="552"/>
      <c r="E40" s="553"/>
      <c r="F40" s="1670">
        <v>3.5000000000000003E-2</v>
      </c>
      <c r="G40" s="1347"/>
      <c r="H40" s="554"/>
      <c r="I40" s="467">
        <f>IFERROR(J40/'1B - 4%'!$L$23,"")</f>
        <v>300</v>
      </c>
      <c r="J40" s="555">
        <f>'8E- 4%'!J50</f>
        <v>24000</v>
      </c>
      <c r="K40" s="556">
        <f t="shared" si="9"/>
        <v>24840</v>
      </c>
      <c r="L40" s="556">
        <f t="shared" si="9"/>
        <v>25709.4</v>
      </c>
      <c r="M40" s="556">
        <f t="shared" si="9"/>
        <v>26609.229000000003</v>
      </c>
      <c r="N40" s="556">
        <f t="shared" si="9"/>
        <v>27540.552015000005</v>
      </c>
      <c r="O40" s="556">
        <f t="shared" si="9"/>
        <v>28504.471335525006</v>
      </c>
      <c r="P40" s="557">
        <f t="shared" si="9"/>
        <v>29502.127832268383</v>
      </c>
      <c r="Q40" s="516"/>
    </row>
    <row r="41" spans="2:17" x14ac:dyDescent="0.25">
      <c r="B41" s="517"/>
      <c r="C41" s="551" t="s">
        <v>432</v>
      </c>
      <c r="D41" s="552"/>
      <c r="E41" s="553"/>
      <c r="F41" s="1670">
        <v>3.5000000000000003E-2</v>
      </c>
      <c r="G41" s="1347"/>
      <c r="H41" s="554"/>
      <c r="I41" s="467">
        <f>IFERROR(J41/'1B - 4%'!$L$23,"")</f>
        <v>237.72499999999999</v>
      </c>
      <c r="J41" s="555">
        <f>'8E- 4%'!J51</f>
        <v>19018</v>
      </c>
      <c r="K41" s="556">
        <f t="shared" si="9"/>
        <v>19683.63</v>
      </c>
      <c r="L41" s="556">
        <f t="shared" si="9"/>
        <v>20372.557049999999</v>
      </c>
      <c r="M41" s="556">
        <f t="shared" si="9"/>
        <v>21085.596546749999</v>
      </c>
      <c r="N41" s="556">
        <f t="shared" si="9"/>
        <v>21823.592425886251</v>
      </c>
      <c r="O41" s="556">
        <f t="shared" si="9"/>
        <v>22587.418160792269</v>
      </c>
      <c r="P41" s="557">
        <f t="shared" si="9"/>
        <v>23377.97779642</v>
      </c>
      <c r="Q41" s="516"/>
    </row>
    <row r="42" spans="2:17" x14ac:dyDescent="0.25">
      <c r="B42" s="517"/>
      <c r="C42" s="551" t="s">
        <v>433</v>
      </c>
      <c r="D42" s="552"/>
      <c r="E42" s="553"/>
      <c r="F42" s="1670">
        <v>3.5000000000000003E-2</v>
      </c>
      <c r="G42" s="1347"/>
      <c r="H42" s="554"/>
      <c r="I42" s="467">
        <f>IFERROR(J42/'1B - 4%'!$L$23,"")</f>
        <v>9.0250000000000004</v>
      </c>
      <c r="J42" s="555">
        <f>'8E- 4%'!J52</f>
        <v>722</v>
      </c>
      <c r="K42" s="556">
        <f t="shared" si="9"/>
        <v>747.27</v>
      </c>
      <c r="L42" s="556">
        <f t="shared" si="9"/>
        <v>773.42444999999998</v>
      </c>
      <c r="M42" s="556">
        <f t="shared" si="9"/>
        <v>800.49430574999997</v>
      </c>
      <c r="N42" s="556">
        <f t="shared" si="9"/>
        <v>828.51160645124992</v>
      </c>
      <c r="O42" s="556">
        <f t="shared" si="9"/>
        <v>857.50951267704363</v>
      </c>
      <c r="P42" s="557">
        <f t="shared" si="9"/>
        <v>887.52234562074011</v>
      </c>
      <c r="Q42" s="516"/>
    </row>
    <row r="43" spans="2:17" x14ac:dyDescent="0.25">
      <c r="B43" s="517"/>
      <c r="C43" s="551" t="s">
        <v>434</v>
      </c>
      <c r="D43" s="553"/>
      <c r="E43" s="552"/>
      <c r="F43" s="1670">
        <v>3.5000000000000003E-2</v>
      </c>
      <c r="G43" s="1347"/>
      <c r="H43" s="554"/>
      <c r="I43" s="467">
        <f>IFERROR(J43/'1B - 4%'!$L$23,"")</f>
        <v>0</v>
      </c>
      <c r="J43" s="555">
        <f>'8E- 4%'!J53</f>
        <v>0</v>
      </c>
      <c r="K43" s="556">
        <f t="shared" si="9"/>
        <v>0</v>
      </c>
      <c r="L43" s="556">
        <f t="shared" si="9"/>
        <v>0</v>
      </c>
      <c r="M43" s="556">
        <f t="shared" si="9"/>
        <v>0</v>
      </c>
      <c r="N43" s="556">
        <f t="shared" si="9"/>
        <v>0</v>
      </c>
      <c r="O43" s="556">
        <f t="shared" si="9"/>
        <v>0</v>
      </c>
      <c r="P43" s="557">
        <f t="shared" si="9"/>
        <v>0</v>
      </c>
      <c r="Q43" s="516"/>
    </row>
    <row r="44" spans="2:17" x14ac:dyDescent="0.25">
      <c r="B44" s="517"/>
      <c r="C44" s="551" t="s">
        <v>435</v>
      </c>
      <c r="D44" s="552"/>
      <c r="E44" s="553"/>
      <c r="F44" s="1670">
        <v>3.5000000000000003E-2</v>
      </c>
      <c r="G44" s="1347"/>
      <c r="H44" s="554"/>
      <c r="I44" s="467">
        <f>IFERROR(J44/'1B - 4%'!$L$23,"")</f>
        <v>90</v>
      </c>
      <c r="J44" s="555">
        <f>'8E- 4%'!J54</f>
        <v>7200</v>
      </c>
      <c r="K44" s="556">
        <f t="shared" si="9"/>
        <v>7452</v>
      </c>
      <c r="L44" s="556">
        <f t="shared" si="9"/>
        <v>7712.82</v>
      </c>
      <c r="M44" s="556">
        <f t="shared" si="9"/>
        <v>7982.7686999999996</v>
      </c>
      <c r="N44" s="556">
        <f t="shared" si="9"/>
        <v>8262.1656045</v>
      </c>
      <c r="O44" s="556">
        <f t="shared" si="9"/>
        <v>8551.3414006575003</v>
      </c>
      <c r="P44" s="557">
        <f t="shared" si="9"/>
        <v>8850.6383496805138</v>
      </c>
      <c r="Q44" s="516"/>
    </row>
    <row r="45" spans="2:17" x14ac:dyDescent="0.25">
      <c r="B45" s="517"/>
      <c r="C45" s="551" t="s">
        <v>436</v>
      </c>
      <c r="D45" s="553"/>
      <c r="E45" s="553"/>
      <c r="F45" s="1670">
        <v>3.5000000000000003E-2</v>
      </c>
      <c r="G45" s="1347"/>
      <c r="H45" s="554"/>
      <c r="I45" s="467">
        <f>IFERROR(J45/'1B - 4%'!$L$23,"")</f>
        <v>200</v>
      </c>
      <c r="J45" s="555">
        <f>'8E- 4%'!J55</f>
        <v>16000</v>
      </c>
      <c r="K45" s="556">
        <f t="shared" si="9"/>
        <v>16560</v>
      </c>
      <c r="L45" s="556">
        <f t="shared" si="9"/>
        <v>17139.599999999999</v>
      </c>
      <c r="M45" s="556">
        <f t="shared" si="9"/>
        <v>17739.485999999997</v>
      </c>
      <c r="N45" s="556">
        <f t="shared" si="9"/>
        <v>18360.368009999998</v>
      </c>
      <c r="O45" s="556">
        <f t="shared" si="9"/>
        <v>19002.980890349998</v>
      </c>
      <c r="P45" s="557">
        <f t="shared" si="9"/>
        <v>19668.085221512247</v>
      </c>
      <c r="Q45" s="516"/>
    </row>
    <row r="46" spans="2:17" x14ac:dyDescent="0.25">
      <c r="B46" s="517"/>
      <c r="C46" s="551" t="s">
        <v>437</v>
      </c>
      <c r="D46" s="552"/>
      <c r="E46" s="553"/>
      <c r="F46" s="1670">
        <v>3.5000000000000003E-2</v>
      </c>
      <c r="G46" s="1347"/>
      <c r="H46" s="554"/>
      <c r="I46" s="467">
        <f>IFERROR(J46/'1B - 4%'!$L$23,"")</f>
        <v>84</v>
      </c>
      <c r="J46" s="555">
        <f>'8E- 4%'!J56</f>
        <v>6720</v>
      </c>
      <c r="K46" s="556">
        <f t="shared" si="9"/>
        <v>6955.2</v>
      </c>
      <c r="L46" s="556">
        <f t="shared" si="9"/>
        <v>7198.6319999999996</v>
      </c>
      <c r="M46" s="556">
        <f t="shared" si="9"/>
        <v>7450.5841199999995</v>
      </c>
      <c r="N46" s="556">
        <f t="shared" si="9"/>
        <v>7711.3545641999999</v>
      </c>
      <c r="O46" s="556">
        <f t="shared" si="9"/>
        <v>7981.2519739469999</v>
      </c>
      <c r="P46" s="557">
        <f t="shared" si="9"/>
        <v>8260.5957930351451</v>
      </c>
      <c r="Q46" s="516"/>
    </row>
    <row r="47" spans="2:17" x14ac:dyDescent="0.25">
      <c r="B47" s="517"/>
      <c r="C47" s="551" t="s">
        <v>438</v>
      </c>
      <c r="D47" s="553"/>
      <c r="E47" s="553"/>
      <c r="F47" s="1670">
        <v>3.5000000000000003E-2</v>
      </c>
      <c r="G47" s="1347"/>
      <c r="H47" s="554"/>
      <c r="I47" s="467">
        <f>IFERROR(J47/'1B - 4%'!$L$23,"")</f>
        <v>50</v>
      </c>
      <c r="J47" s="555">
        <f>'8E- 4%'!J57</f>
        <v>4000</v>
      </c>
      <c r="K47" s="556">
        <f t="shared" si="9"/>
        <v>4140</v>
      </c>
      <c r="L47" s="556">
        <f t="shared" si="9"/>
        <v>4284.8999999999996</v>
      </c>
      <c r="M47" s="556">
        <f t="shared" si="9"/>
        <v>4434.8714999999993</v>
      </c>
      <c r="N47" s="556">
        <f t="shared" si="9"/>
        <v>4590.0920024999996</v>
      </c>
      <c r="O47" s="556">
        <f t="shared" si="9"/>
        <v>4750.7452225874995</v>
      </c>
      <c r="P47" s="557">
        <f t="shared" si="9"/>
        <v>4917.0213053780617</v>
      </c>
      <c r="Q47" s="516"/>
    </row>
    <row r="48" spans="2:17" x14ac:dyDescent="0.25">
      <c r="B48" s="517"/>
      <c r="C48" s="551" t="s">
        <v>439</v>
      </c>
      <c r="D48" s="553"/>
      <c r="E48" s="553"/>
      <c r="F48" s="1670">
        <v>3.5000000000000003E-2</v>
      </c>
      <c r="G48" s="1347"/>
      <c r="H48" s="554"/>
      <c r="I48" s="467">
        <f>IFERROR(J48/'1B - 4%'!$L$23,"")</f>
        <v>100</v>
      </c>
      <c r="J48" s="555">
        <f>'8E- 4%'!J58</f>
        <v>8000</v>
      </c>
      <c r="K48" s="556">
        <f t="shared" si="9"/>
        <v>8280</v>
      </c>
      <c r="L48" s="556">
        <f t="shared" si="9"/>
        <v>8569.7999999999993</v>
      </c>
      <c r="M48" s="556">
        <f t="shared" si="9"/>
        <v>8869.7429999999986</v>
      </c>
      <c r="N48" s="556">
        <f t="shared" si="9"/>
        <v>9180.1840049999992</v>
      </c>
      <c r="O48" s="556">
        <f t="shared" si="9"/>
        <v>9501.490445174999</v>
      </c>
      <c r="P48" s="557">
        <f t="shared" si="9"/>
        <v>9834.0426107561234</v>
      </c>
      <c r="Q48" s="516"/>
    </row>
    <row r="49" spans="2:17" x14ac:dyDescent="0.25">
      <c r="B49" s="517"/>
      <c r="C49" s="551" t="s">
        <v>440</v>
      </c>
      <c r="D49" s="553"/>
      <c r="E49" s="553"/>
      <c r="F49" s="1670">
        <v>3.5000000000000003E-2</v>
      </c>
      <c r="G49" s="1347"/>
      <c r="H49" s="554"/>
      <c r="I49" s="467">
        <f>IFERROR(J49/'1B - 4%'!$L$23,"")</f>
        <v>50</v>
      </c>
      <c r="J49" s="555">
        <f>'8E- 4%'!J59</f>
        <v>4000</v>
      </c>
      <c r="K49" s="556">
        <f t="shared" si="9"/>
        <v>4140</v>
      </c>
      <c r="L49" s="556">
        <f t="shared" si="9"/>
        <v>4284.8999999999996</v>
      </c>
      <c r="M49" s="556">
        <f t="shared" si="9"/>
        <v>4434.8714999999993</v>
      </c>
      <c r="N49" s="556">
        <f t="shared" si="9"/>
        <v>4590.0920024999996</v>
      </c>
      <c r="O49" s="556">
        <f t="shared" si="9"/>
        <v>4750.7452225874995</v>
      </c>
      <c r="P49" s="557">
        <f t="shared" si="9"/>
        <v>4917.0213053780617</v>
      </c>
      <c r="Q49" s="516"/>
    </row>
    <row r="50" spans="2:17" x14ac:dyDescent="0.25">
      <c r="B50" s="517"/>
      <c r="C50" s="551" t="s">
        <v>441</v>
      </c>
      <c r="D50" s="553"/>
      <c r="E50" s="553"/>
      <c r="F50" s="1670">
        <v>3.5000000000000003E-2</v>
      </c>
      <c r="G50" s="1347"/>
      <c r="H50" s="554"/>
      <c r="I50" s="467">
        <f>IFERROR(J50/'1B - 4%'!$L$23,"")</f>
        <v>53</v>
      </c>
      <c r="J50" s="555">
        <f>'8E- 4%'!J60</f>
        <v>4240</v>
      </c>
      <c r="K50" s="556">
        <f t="shared" si="9"/>
        <v>4388.3999999999996</v>
      </c>
      <c r="L50" s="556">
        <f t="shared" si="9"/>
        <v>4541.9939999999997</v>
      </c>
      <c r="M50" s="556">
        <f t="shared" si="9"/>
        <v>4700.9637899999998</v>
      </c>
      <c r="N50" s="556">
        <f t="shared" si="9"/>
        <v>4865.4975226500001</v>
      </c>
      <c r="O50" s="556">
        <f t="shared" si="9"/>
        <v>5035.7899359427502</v>
      </c>
      <c r="P50" s="557">
        <f t="shared" si="9"/>
        <v>5212.042583700746</v>
      </c>
      <c r="Q50" s="516"/>
    </row>
    <row r="51" spans="2:17" x14ac:dyDescent="0.25">
      <c r="B51" s="517"/>
      <c r="C51" s="551" t="s">
        <v>442</v>
      </c>
      <c r="D51" s="552"/>
      <c r="E51" s="553"/>
      <c r="F51" s="1670">
        <v>0.04</v>
      </c>
      <c r="G51" s="1347"/>
      <c r="H51" s="554"/>
      <c r="I51" s="467">
        <f>IFERROR(J51/'1B - 4%'!$L$23,"")</f>
        <v>635</v>
      </c>
      <c r="J51" s="555">
        <f>'8E- 4%'!J61</f>
        <v>50800</v>
      </c>
      <c r="K51" s="556">
        <f t="shared" si="9"/>
        <v>52832</v>
      </c>
      <c r="L51" s="556">
        <f t="shared" si="9"/>
        <v>54945.279999999999</v>
      </c>
      <c r="M51" s="556">
        <f t="shared" si="9"/>
        <v>57143.091199999995</v>
      </c>
      <c r="N51" s="556">
        <f t="shared" si="9"/>
        <v>59428.814847999995</v>
      </c>
      <c r="O51" s="556">
        <f t="shared" si="9"/>
        <v>61805.967441919995</v>
      </c>
      <c r="P51" s="557">
        <f t="shared" si="9"/>
        <v>64278.206139596798</v>
      </c>
      <c r="Q51" s="516"/>
    </row>
    <row r="52" spans="2:17" x14ac:dyDescent="0.25">
      <c r="B52" s="517"/>
      <c r="C52" s="551" t="s">
        <v>443</v>
      </c>
      <c r="D52" s="552"/>
      <c r="E52" s="553"/>
      <c r="F52" s="1670">
        <v>3.5000000000000003E-2</v>
      </c>
      <c r="G52" s="1347"/>
      <c r="H52" s="554"/>
      <c r="I52" s="467">
        <f>IFERROR(J52/'1B - 4%'!$L$23,"")</f>
        <v>140</v>
      </c>
      <c r="J52" s="555">
        <f>'8E- 4%'!J62</f>
        <v>11200</v>
      </c>
      <c r="K52" s="556">
        <f t="shared" si="9"/>
        <v>11592</v>
      </c>
      <c r="L52" s="556">
        <f t="shared" si="9"/>
        <v>11997.72</v>
      </c>
      <c r="M52" s="556">
        <f t="shared" si="9"/>
        <v>12417.6402</v>
      </c>
      <c r="N52" s="556">
        <f t="shared" si="9"/>
        <v>12852.257607</v>
      </c>
      <c r="O52" s="556">
        <f t="shared" si="9"/>
        <v>13302.086623244999</v>
      </c>
      <c r="P52" s="557">
        <f t="shared" si="9"/>
        <v>13767.659655058575</v>
      </c>
      <c r="Q52" s="516"/>
    </row>
    <row r="53" spans="2:17" x14ac:dyDescent="0.25">
      <c r="B53" s="558"/>
      <c r="C53" s="551" t="s">
        <v>444</v>
      </c>
      <c r="D53" s="552"/>
      <c r="E53" s="553"/>
      <c r="F53" s="1670">
        <v>3.5000000000000003E-2</v>
      </c>
      <c r="G53" s="1347"/>
      <c r="H53" s="554"/>
      <c r="I53" s="467">
        <f>IFERROR(J53/'1B - 4%'!$L$23,"")</f>
        <v>80</v>
      </c>
      <c r="J53" s="555">
        <f>'8E- 4%'!J63</f>
        <v>6400</v>
      </c>
      <c r="K53" s="556">
        <f t="shared" ref="K53:P56" si="10">J53+(J53*$F53)</f>
        <v>6624</v>
      </c>
      <c r="L53" s="556">
        <f t="shared" si="10"/>
        <v>6855.84</v>
      </c>
      <c r="M53" s="556">
        <f t="shared" si="10"/>
        <v>7095.7943999999998</v>
      </c>
      <c r="N53" s="556">
        <f t="shared" si="10"/>
        <v>7344.1472039999999</v>
      </c>
      <c r="O53" s="556">
        <f t="shared" si="10"/>
        <v>7601.1923561399999</v>
      </c>
      <c r="P53" s="557">
        <f t="shared" si="10"/>
        <v>7867.2340886048996</v>
      </c>
      <c r="Q53" s="559"/>
    </row>
    <row r="54" spans="2:17" x14ac:dyDescent="0.25">
      <c r="B54" s="517"/>
      <c r="C54" s="551" t="s">
        <v>445</v>
      </c>
      <c r="D54" s="553"/>
      <c r="E54" s="553"/>
      <c r="F54" s="1670">
        <v>3.5000000000000003E-2</v>
      </c>
      <c r="G54" s="1347"/>
      <c r="H54" s="554"/>
      <c r="I54" s="467">
        <f>IFERROR(J54/'1B - 4%'!$L$23,"")</f>
        <v>125</v>
      </c>
      <c r="J54" s="555">
        <f>'8E- 4%'!J64</f>
        <v>10000</v>
      </c>
      <c r="K54" s="556">
        <f t="shared" si="10"/>
        <v>10350</v>
      </c>
      <c r="L54" s="556">
        <f t="shared" si="10"/>
        <v>10712.25</v>
      </c>
      <c r="M54" s="556">
        <f t="shared" si="10"/>
        <v>11087.178749999999</v>
      </c>
      <c r="N54" s="556">
        <f t="shared" si="10"/>
        <v>11475.23000625</v>
      </c>
      <c r="O54" s="556">
        <f t="shared" si="10"/>
        <v>11876.86305646875</v>
      </c>
      <c r="P54" s="557">
        <f t="shared" si="10"/>
        <v>12292.553263445156</v>
      </c>
      <c r="Q54" s="516"/>
    </row>
    <row r="55" spans="2:17" x14ac:dyDescent="0.25">
      <c r="B55" s="517"/>
      <c r="C55" s="551" t="s">
        <v>446</v>
      </c>
      <c r="D55" s="553"/>
      <c r="E55" s="553"/>
      <c r="F55" s="1670">
        <v>3.5000000000000003E-2</v>
      </c>
      <c r="G55" s="1347"/>
      <c r="H55" s="554"/>
      <c r="I55" s="467">
        <f>IFERROR(J55/'1B - 4%'!$L$23,"")</f>
        <v>33.837499999999999</v>
      </c>
      <c r="J55" s="555">
        <f>'8E- 4%'!J65</f>
        <v>2707</v>
      </c>
      <c r="K55" s="556">
        <f t="shared" si="10"/>
        <v>2801.7449999999999</v>
      </c>
      <c r="L55" s="556">
        <f t="shared" si="10"/>
        <v>2899.806075</v>
      </c>
      <c r="M55" s="556">
        <f t="shared" si="10"/>
        <v>3001.299287625</v>
      </c>
      <c r="N55" s="556">
        <f t="shared" si="10"/>
        <v>3106.3447626918751</v>
      </c>
      <c r="O55" s="556">
        <f t="shared" si="10"/>
        <v>3215.0668293860908</v>
      </c>
      <c r="P55" s="557">
        <f t="shared" si="10"/>
        <v>3327.5941684146042</v>
      </c>
      <c r="Q55" s="516"/>
    </row>
    <row r="56" spans="2:17" ht="15.75" thickBot="1" x14ac:dyDescent="0.3">
      <c r="B56" s="517"/>
      <c r="C56" s="560" t="s">
        <v>247</v>
      </c>
      <c r="D56" s="561"/>
      <c r="E56" s="562"/>
      <c r="F56" s="1671">
        <v>3.5000000000000003E-2</v>
      </c>
      <c r="G56" s="1347"/>
      <c r="H56" s="554"/>
      <c r="I56" s="468">
        <f>IFERROR(J56/'1B - 4%'!$L$23,"")</f>
        <v>701.08749999999998</v>
      </c>
      <c r="J56" s="563">
        <f>'8E- 4%'!J66</f>
        <v>56087</v>
      </c>
      <c r="K56" s="564">
        <f t="shared" si="10"/>
        <v>58050.044999999998</v>
      </c>
      <c r="L56" s="564">
        <f t="shared" si="10"/>
        <v>60081.796575</v>
      </c>
      <c r="M56" s="564">
        <f>L56+(L56*$F56)</f>
        <v>62184.659455125002</v>
      </c>
      <c r="N56" s="564">
        <f t="shared" si="10"/>
        <v>64361.122536054376</v>
      </c>
      <c r="O56" s="564">
        <f t="shared" si="10"/>
        <v>66613.761824816276</v>
      </c>
      <c r="P56" s="565">
        <f t="shared" si="10"/>
        <v>68945.24348868485</v>
      </c>
      <c r="Q56" s="516"/>
    </row>
    <row r="57" spans="2:17" ht="15.75" thickBot="1" x14ac:dyDescent="0.3">
      <c r="B57" s="517"/>
      <c r="C57" s="475" t="s">
        <v>447</v>
      </c>
      <c r="D57" s="532"/>
      <c r="E57" s="515"/>
      <c r="F57" s="533"/>
      <c r="G57" s="533"/>
      <c r="H57" s="515"/>
      <c r="I57" s="468">
        <f>IFERROR(J57/'1B - 4%'!$L$23,"")</f>
        <v>4951.2331250000007</v>
      </c>
      <c r="J57" s="469">
        <f>SUM(J36:J56)</f>
        <v>396098.65</v>
      </c>
      <c r="K57" s="470">
        <f t="shared" ref="K57:P57" si="11">SUM(K36:K56)</f>
        <v>409628.18274999998</v>
      </c>
      <c r="L57" s="470">
        <f t="shared" si="11"/>
        <v>423626.71114625002</v>
      </c>
      <c r="M57" s="470">
        <f t="shared" si="11"/>
        <v>438110.68898636888</v>
      </c>
      <c r="N57" s="470">
        <f t="shared" si="11"/>
        <v>453097.15302064165</v>
      </c>
      <c r="O57" s="470">
        <f t="shared" si="11"/>
        <v>468603.74377594783</v>
      </c>
      <c r="P57" s="471">
        <f t="shared" si="11"/>
        <v>484648.72712879302</v>
      </c>
      <c r="Q57" s="516"/>
    </row>
    <row r="58" spans="2:17" ht="15.75" thickBot="1" x14ac:dyDescent="0.3">
      <c r="B58" s="517"/>
      <c r="C58" s="475"/>
      <c r="D58" s="532"/>
      <c r="E58" s="515"/>
      <c r="F58" s="541" t="s">
        <v>412</v>
      </c>
      <c r="G58" s="542"/>
      <c r="H58" s="518"/>
      <c r="I58" s="518"/>
      <c r="J58" s="472"/>
      <c r="K58" s="473"/>
      <c r="L58" s="473"/>
      <c r="M58" s="473"/>
      <c r="N58" s="473"/>
      <c r="O58" s="473"/>
      <c r="P58" s="474"/>
      <c r="Q58" s="516"/>
    </row>
    <row r="59" spans="2:17" x14ac:dyDescent="0.25">
      <c r="B59" s="550"/>
      <c r="C59" s="566" t="s">
        <v>448</v>
      </c>
      <c r="D59" s="567"/>
      <c r="E59" s="546"/>
      <c r="F59" s="1659">
        <v>3.5000000000000003E-2</v>
      </c>
      <c r="G59" s="1348"/>
      <c r="H59" s="546"/>
      <c r="I59" s="466">
        <f>IFERROR(J59/'1B - 4%'!$L$23,"")</f>
        <v>350</v>
      </c>
      <c r="J59" s="568">
        <f>'8E- 4%'!J69</f>
        <v>28000</v>
      </c>
      <c r="K59" s="556">
        <f t="shared" ref="K59:P60" si="12">J59+(J59*$F59)</f>
        <v>28980</v>
      </c>
      <c r="L59" s="556">
        <f t="shared" si="12"/>
        <v>29994.3</v>
      </c>
      <c r="M59" s="556">
        <f t="shared" si="12"/>
        <v>31044.1005</v>
      </c>
      <c r="N59" s="556">
        <f t="shared" si="12"/>
        <v>32130.644017499999</v>
      </c>
      <c r="O59" s="556">
        <f t="shared" si="12"/>
        <v>33255.216558112501</v>
      </c>
      <c r="P59" s="557">
        <f t="shared" si="12"/>
        <v>34419.14913764644</v>
      </c>
      <c r="Q59" s="516"/>
    </row>
    <row r="60" spans="2:17" ht="15.75" thickBot="1" x14ac:dyDescent="0.3">
      <c r="B60" s="550"/>
      <c r="C60" s="569" t="s">
        <v>449</v>
      </c>
      <c r="D60" s="561"/>
      <c r="E60" s="562"/>
      <c r="F60" s="1672">
        <v>3.5000000000000003E-2</v>
      </c>
      <c r="G60" s="1347"/>
      <c r="H60" s="554"/>
      <c r="I60" s="468">
        <f>IFERROR(J60/'1B - 4%'!$L$23,"")</f>
        <v>0</v>
      </c>
      <c r="J60" s="789">
        <f>'8E- 4%'!J70</f>
        <v>0</v>
      </c>
      <c r="K60" s="564">
        <f t="shared" si="12"/>
        <v>0</v>
      </c>
      <c r="L60" s="564">
        <f t="shared" si="12"/>
        <v>0</v>
      </c>
      <c r="M60" s="564">
        <f t="shared" si="12"/>
        <v>0</v>
      </c>
      <c r="N60" s="564">
        <f t="shared" si="12"/>
        <v>0</v>
      </c>
      <c r="O60" s="564">
        <f t="shared" si="12"/>
        <v>0</v>
      </c>
      <c r="P60" s="565">
        <f t="shared" si="12"/>
        <v>0</v>
      </c>
      <c r="Q60" s="516"/>
    </row>
    <row r="61" spans="2:17" x14ac:dyDescent="0.25">
      <c r="B61" s="550"/>
      <c r="C61" s="475" t="s">
        <v>450</v>
      </c>
      <c r="D61" s="532"/>
      <c r="E61" s="532"/>
      <c r="F61" s="532"/>
      <c r="G61" s="532"/>
      <c r="H61" s="515"/>
      <c r="I61" s="570">
        <f>IFERROR(J61/'1B - 4%'!$L$23,"")</f>
        <v>350</v>
      </c>
      <c r="J61" s="469">
        <f>SUM(J59:J60)</f>
        <v>28000</v>
      </c>
      <c r="K61" s="470">
        <f t="shared" ref="K61:P61" si="13">SUM(K59:K60)</f>
        <v>28980</v>
      </c>
      <c r="L61" s="470">
        <f t="shared" si="13"/>
        <v>29994.3</v>
      </c>
      <c r="M61" s="470">
        <f t="shared" si="13"/>
        <v>31044.1005</v>
      </c>
      <c r="N61" s="470">
        <f t="shared" si="13"/>
        <v>32130.644017499999</v>
      </c>
      <c r="O61" s="470">
        <f t="shared" si="13"/>
        <v>33255.216558112501</v>
      </c>
      <c r="P61" s="471">
        <f t="shared" si="13"/>
        <v>34419.14913764644</v>
      </c>
      <c r="Q61" s="516"/>
    </row>
    <row r="62" spans="2:17" ht="7.5" customHeight="1" thickBot="1" x14ac:dyDescent="0.3">
      <c r="B62" s="550"/>
      <c r="C62" s="475"/>
      <c r="D62" s="532"/>
      <c r="E62" s="532"/>
      <c r="F62" s="532"/>
      <c r="G62" s="532"/>
      <c r="H62" s="515"/>
      <c r="I62" s="570"/>
      <c r="J62" s="472"/>
      <c r="K62" s="473"/>
      <c r="L62" s="473"/>
      <c r="M62" s="473"/>
      <c r="N62" s="473"/>
      <c r="O62" s="473"/>
      <c r="P62" s="474"/>
      <c r="Q62" s="516"/>
    </row>
    <row r="63" spans="2:17" ht="15.75" thickBot="1" x14ac:dyDescent="0.3">
      <c r="B63" s="517"/>
      <c r="C63" s="475" t="s">
        <v>451</v>
      </c>
      <c r="D63" s="532"/>
      <c r="E63" s="339"/>
      <c r="F63" s="1673">
        <v>3.5000000000000003E-2</v>
      </c>
      <c r="G63" s="1349"/>
      <c r="H63" s="546"/>
      <c r="I63" s="1378">
        <f>IFERROR(J63/'1B - 4%'!$L$23,"")</f>
        <v>0</v>
      </c>
      <c r="J63" s="586">
        <f>'8D - 4%'!K44</f>
        <v>0</v>
      </c>
      <c r="K63" s="571">
        <f>J63+(J63*$F63)</f>
        <v>0</v>
      </c>
      <c r="L63" s="571">
        <f t="shared" ref="L63:P65" si="14">K63+(K63*$F63)</f>
        <v>0</v>
      </c>
      <c r="M63" s="571">
        <f t="shared" si="14"/>
        <v>0</v>
      </c>
      <c r="N63" s="571">
        <f t="shared" si="14"/>
        <v>0</v>
      </c>
      <c r="O63" s="571">
        <f t="shared" si="14"/>
        <v>0</v>
      </c>
      <c r="P63" s="572">
        <f t="shared" si="14"/>
        <v>0</v>
      </c>
      <c r="Q63" s="516"/>
    </row>
    <row r="64" spans="2:17" ht="7.5" customHeight="1" thickBot="1" x14ac:dyDescent="0.3">
      <c r="B64" s="517"/>
      <c r="C64" s="475"/>
      <c r="D64" s="532"/>
      <c r="E64" s="339"/>
      <c r="F64" s="532"/>
      <c r="G64" s="532"/>
      <c r="H64" s="515"/>
      <c r="I64" s="570"/>
      <c r="J64" s="472"/>
      <c r="K64" s="473"/>
      <c r="L64" s="473"/>
      <c r="M64" s="473"/>
      <c r="N64" s="473"/>
      <c r="O64" s="473"/>
      <c r="P64" s="474"/>
      <c r="Q64" s="516"/>
    </row>
    <row r="65" spans="2:17" ht="15.75" thickBot="1" x14ac:dyDescent="0.3">
      <c r="B65" s="517"/>
      <c r="C65" s="573" t="s">
        <v>452</v>
      </c>
      <c r="D65" s="535"/>
      <c r="E65" s="535"/>
      <c r="F65" s="1674">
        <v>0</v>
      </c>
      <c r="G65" s="1350"/>
      <c r="H65" s="574"/>
      <c r="I65" s="535"/>
      <c r="J65" s="1675">
        <f>'8E- 4%'!J75</f>
        <v>0</v>
      </c>
      <c r="K65" s="1676">
        <f>J65+(J65*$F65)</f>
        <v>0</v>
      </c>
      <c r="L65" s="1676">
        <f t="shared" si="14"/>
        <v>0</v>
      </c>
      <c r="M65" s="1676">
        <f t="shared" si="14"/>
        <v>0</v>
      </c>
      <c r="N65" s="1676">
        <f t="shared" si="14"/>
        <v>0</v>
      </c>
      <c r="O65" s="1676">
        <f t="shared" si="14"/>
        <v>0</v>
      </c>
      <c r="P65" s="1677">
        <f t="shared" si="14"/>
        <v>0</v>
      </c>
      <c r="Q65" s="516"/>
    </row>
    <row r="66" spans="2:17" ht="16.5" thickTop="1" thickBot="1" x14ac:dyDescent="0.3">
      <c r="B66" s="517"/>
      <c r="C66" s="540" t="s">
        <v>453</v>
      </c>
      <c r="D66" s="532"/>
      <c r="E66" s="515"/>
      <c r="F66" s="532"/>
      <c r="G66" s="532"/>
      <c r="H66" s="575"/>
      <c r="I66" s="533" t="s">
        <v>416</v>
      </c>
      <c r="J66" s="476">
        <f>J57+J61+J63+J65</f>
        <v>424098.65</v>
      </c>
      <c r="K66" s="477">
        <f t="shared" ref="K66:P66" si="15">K57+K61+K63+K65</f>
        <v>438608.18274999998</v>
      </c>
      <c r="L66" s="477">
        <f t="shared" si="15"/>
        <v>453621.01114625001</v>
      </c>
      <c r="M66" s="477">
        <f t="shared" si="15"/>
        <v>469154.78948636889</v>
      </c>
      <c r="N66" s="477">
        <f t="shared" si="15"/>
        <v>485227.79703814164</v>
      </c>
      <c r="O66" s="477">
        <f t="shared" si="15"/>
        <v>501858.96033406036</v>
      </c>
      <c r="P66" s="478">
        <f t="shared" si="15"/>
        <v>519067.87626643945</v>
      </c>
      <c r="Q66" s="516"/>
    </row>
    <row r="67" spans="2:17" ht="7.5" customHeight="1" thickBot="1" x14ac:dyDescent="0.3">
      <c r="B67" s="517"/>
      <c r="C67" s="532"/>
      <c r="D67" s="532"/>
      <c r="E67" s="532"/>
      <c r="F67" s="532"/>
      <c r="G67" s="532"/>
      <c r="H67" s="532"/>
      <c r="I67" s="532"/>
      <c r="J67" s="576"/>
      <c r="K67" s="576"/>
      <c r="L67" s="576"/>
      <c r="M67" s="576"/>
      <c r="N67" s="576"/>
      <c r="O67" s="576"/>
      <c r="P67" s="576"/>
      <c r="Q67" s="516"/>
    </row>
    <row r="68" spans="2:17" ht="15.75" thickBot="1" x14ac:dyDescent="0.3">
      <c r="B68" s="517"/>
      <c r="C68" s="540" t="s">
        <v>454</v>
      </c>
      <c r="D68" s="532"/>
      <c r="E68" s="532"/>
      <c r="F68" s="532"/>
      <c r="G68" s="532"/>
      <c r="H68" s="532"/>
      <c r="I68" s="533" t="s">
        <v>416</v>
      </c>
      <c r="J68" s="479">
        <f>J32-J66</f>
        <v>556352.65</v>
      </c>
      <c r="K68" s="480">
        <f t="shared" ref="K68:P68" si="16">K32-K66</f>
        <v>565682.51225000015</v>
      </c>
      <c r="L68" s="480">
        <f t="shared" si="16"/>
        <v>575105.06372874998</v>
      </c>
      <c r="M68" s="480">
        <f t="shared" si="16"/>
        <v>584617.54976050602</v>
      </c>
      <c r="N68" s="480">
        <f t="shared" si="16"/>
        <v>594216.96318990528</v>
      </c>
      <c r="O68" s="480">
        <f t="shared" si="16"/>
        <v>603900.03139968787</v>
      </c>
      <c r="P68" s="481">
        <f t="shared" si="16"/>
        <v>613663.20276065241</v>
      </c>
      <c r="Q68" s="516"/>
    </row>
    <row r="69" spans="2:17" x14ac:dyDescent="0.25">
      <c r="B69" s="517"/>
      <c r="C69" s="540"/>
      <c r="D69" s="532"/>
      <c r="E69" s="532"/>
      <c r="F69" s="532"/>
      <c r="G69" s="532"/>
      <c r="H69" s="532"/>
      <c r="I69" s="533"/>
      <c r="J69" s="570"/>
      <c r="K69" s="570"/>
      <c r="L69" s="570"/>
      <c r="M69" s="570"/>
      <c r="N69" s="570"/>
      <c r="O69" s="570"/>
      <c r="P69" s="570"/>
      <c r="Q69" s="516"/>
    </row>
    <row r="70" spans="2:17" ht="15.75" thickBot="1" x14ac:dyDescent="0.3">
      <c r="B70" s="394"/>
      <c r="C70" s="2473" t="s">
        <v>455</v>
      </c>
      <c r="D70" s="2473"/>
      <c r="E70" s="2473"/>
      <c r="F70" s="482"/>
      <c r="G70" s="482"/>
      <c r="H70" s="482"/>
      <c r="I70" s="482"/>
      <c r="J70" s="482"/>
      <c r="K70" s="482"/>
      <c r="L70" s="482"/>
      <c r="M70" s="1351"/>
      <c r="N70" s="1351"/>
      <c r="O70" s="1351"/>
      <c r="P70" s="1351"/>
      <c r="Q70" s="355"/>
    </row>
    <row r="71" spans="2:17" ht="15.75" thickBot="1" x14ac:dyDescent="0.3">
      <c r="B71" s="394"/>
      <c r="C71" s="699" t="s">
        <v>456</v>
      </c>
      <c r="D71" s="354"/>
      <c r="E71" s="1208"/>
      <c r="F71" s="1208"/>
      <c r="G71" s="1208"/>
      <c r="H71" s="2474" t="s">
        <v>457</v>
      </c>
      <c r="I71" s="2475"/>
      <c r="J71" s="446" t="s">
        <v>404</v>
      </c>
      <c r="K71" s="447" t="s">
        <v>405</v>
      </c>
      <c r="L71" s="447" t="s">
        <v>406</v>
      </c>
      <c r="M71" s="447" t="s">
        <v>407</v>
      </c>
      <c r="N71" s="447" t="s">
        <v>408</v>
      </c>
      <c r="O71" s="447" t="s">
        <v>409</v>
      </c>
      <c r="P71" s="448" t="s">
        <v>410</v>
      </c>
      <c r="Q71" s="355"/>
    </row>
    <row r="72" spans="2:17" x14ac:dyDescent="0.25">
      <c r="B72" s="394"/>
      <c r="C72" s="2523" t="s">
        <v>1585</v>
      </c>
      <c r="D72" s="2524"/>
      <c r="E72" s="2524"/>
      <c r="F72" s="2524"/>
      <c r="G72" s="2525"/>
      <c r="H72" s="2517">
        <v>7583566</v>
      </c>
      <c r="I72" s="2518"/>
      <c r="J72" s="1678">
        <v>459280</v>
      </c>
      <c r="K72" s="1679">
        <f t="shared" ref="K72:P72" si="17">J72</f>
        <v>459280</v>
      </c>
      <c r="L72" s="1679">
        <f t="shared" si="17"/>
        <v>459280</v>
      </c>
      <c r="M72" s="1679">
        <f t="shared" si="17"/>
        <v>459280</v>
      </c>
      <c r="N72" s="1679">
        <f t="shared" si="17"/>
        <v>459280</v>
      </c>
      <c r="O72" s="1679">
        <f t="shared" si="17"/>
        <v>459280</v>
      </c>
      <c r="P72" s="1680">
        <f t="shared" si="17"/>
        <v>459280</v>
      </c>
      <c r="Q72" s="355"/>
    </row>
    <row r="73" spans="2:17" x14ac:dyDescent="0.25">
      <c r="B73" s="394"/>
      <c r="C73" s="2532"/>
      <c r="D73" s="2533"/>
      <c r="E73" s="2533"/>
      <c r="F73" s="2533"/>
      <c r="G73" s="2534"/>
      <c r="H73" s="2519">
        <v>0</v>
      </c>
      <c r="I73" s="2520"/>
      <c r="J73" s="1681">
        <v>0</v>
      </c>
      <c r="K73" s="1682">
        <v>0</v>
      </c>
      <c r="L73" s="1682">
        <v>0</v>
      </c>
      <c r="M73" s="1682">
        <v>0</v>
      </c>
      <c r="N73" s="1682">
        <v>0</v>
      </c>
      <c r="O73" s="1682">
        <v>0</v>
      </c>
      <c r="P73" s="1683">
        <v>0</v>
      </c>
      <c r="Q73" s="355"/>
    </row>
    <row r="74" spans="2:17" ht="15.75" thickBot="1" x14ac:dyDescent="0.3">
      <c r="B74" s="394"/>
      <c r="C74" s="2529" t="s">
        <v>460</v>
      </c>
      <c r="D74" s="2530"/>
      <c r="E74" s="2530"/>
      <c r="F74" s="2530"/>
      <c r="G74" s="2531"/>
      <c r="H74" s="2521">
        <v>0</v>
      </c>
      <c r="I74" s="2522"/>
      <c r="J74" s="1684">
        <v>0</v>
      </c>
      <c r="K74" s="1685">
        <v>0</v>
      </c>
      <c r="L74" s="1685">
        <v>0</v>
      </c>
      <c r="M74" s="1685">
        <v>0</v>
      </c>
      <c r="N74" s="1685">
        <v>0</v>
      </c>
      <c r="O74" s="1685">
        <v>0</v>
      </c>
      <c r="P74" s="1686">
        <v>0</v>
      </c>
      <c r="Q74" s="355"/>
    </row>
    <row r="75" spans="2:17" ht="15.75" thickTop="1" x14ac:dyDescent="0.25">
      <c r="B75" s="394"/>
      <c r="C75" s="1352"/>
      <c r="D75" s="1352"/>
      <c r="E75" s="1352"/>
      <c r="F75" s="1352"/>
      <c r="G75" s="1352"/>
      <c r="H75" s="1353"/>
      <c r="I75" s="1354" t="s">
        <v>461</v>
      </c>
      <c r="J75" s="483">
        <f>SUM(J72:J74)</f>
        <v>459280</v>
      </c>
      <c r="K75" s="484">
        <f t="shared" ref="K75:P75" si="18">SUM(K72:K74)</f>
        <v>459280</v>
      </c>
      <c r="L75" s="484">
        <f t="shared" si="18"/>
        <v>459280</v>
      </c>
      <c r="M75" s="484">
        <f t="shared" si="18"/>
        <v>459280</v>
      </c>
      <c r="N75" s="484">
        <f t="shared" si="18"/>
        <v>459280</v>
      </c>
      <c r="O75" s="484">
        <f t="shared" si="18"/>
        <v>459280</v>
      </c>
      <c r="P75" s="485">
        <f t="shared" si="18"/>
        <v>459280</v>
      </c>
      <c r="Q75" s="355"/>
    </row>
    <row r="76" spans="2:17" x14ac:dyDescent="0.25">
      <c r="B76" s="394"/>
      <c r="C76" s="1352"/>
      <c r="D76" s="1352"/>
      <c r="E76" s="1352"/>
      <c r="F76" s="1208"/>
      <c r="G76" s="1208"/>
      <c r="H76" s="793"/>
      <c r="I76" s="793" t="s">
        <v>462</v>
      </c>
      <c r="J76" s="2071">
        <f>IFERROR(J68/J75,"$0 ")</f>
        <v>1.2113583217209545</v>
      </c>
      <c r="K76" s="2072">
        <f t="shared" ref="K76:P76" si="19">IFERROR(K68/K75,"$0 ")</f>
        <v>1.2316724269508799</v>
      </c>
      <c r="L76" s="2072">
        <f t="shared" si="19"/>
        <v>1.25218834638728</v>
      </c>
      <c r="M76" s="2072">
        <f t="shared" si="19"/>
        <v>1.2729000822167436</v>
      </c>
      <c r="N76" s="2072">
        <f t="shared" si="19"/>
        <v>1.2938010868966758</v>
      </c>
      <c r="O76" s="2072">
        <f t="shared" si="19"/>
        <v>1.3148842348887124</v>
      </c>
      <c r="P76" s="2076">
        <f t="shared" si="19"/>
        <v>1.3361417931559232</v>
      </c>
      <c r="Q76" s="355"/>
    </row>
    <row r="77" spans="2:17" ht="15.75" thickBot="1" x14ac:dyDescent="0.3">
      <c r="B77" s="394"/>
      <c r="C77" s="1352"/>
      <c r="D77" s="1352"/>
      <c r="E77" s="1352"/>
      <c r="F77" s="2491" t="s">
        <v>463</v>
      </c>
      <c r="G77" s="2491"/>
      <c r="H77" s="2491"/>
      <c r="I77" s="2492"/>
      <c r="J77" s="486">
        <f>J68-J75</f>
        <v>97072.650000000023</v>
      </c>
      <c r="K77" s="487">
        <f t="shared" ref="K77:P77" si="20">K68-K75</f>
        <v>106402.51225000015</v>
      </c>
      <c r="L77" s="487">
        <f t="shared" si="20"/>
        <v>115825.06372874998</v>
      </c>
      <c r="M77" s="487">
        <f>M68-M75</f>
        <v>125337.54976050602</v>
      </c>
      <c r="N77" s="487">
        <f t="shared" si="20"/>
        <v>134936.96318990528</v>
      </c>
      <c r="O77" s="487">
        <f t="shared" si="20"/>
        <v>144620.03139968787</v>
      </c>
      <c r="P77" s="488">
        <f t="shared" si="20"/>
        <v>154383.20276065241</v>
      </c>
      <c r="Q77" s="355"/>
    </row>
    <row r="78" spans="2:17" ht="15" customHeight="1" thickBot="1" x14ac:dyDescent="0.3">
      <c r="B78" s="394"/>
      <c r="C78" s="1352"/>
      <c r="D78" s="1352"/>
      <c r="E78" s="1352"/>
      <c r="F78" s="1352"/>
      <c r="G78" s="1352"/>
      <c r="H78" s="1353"/>
      <c r="I78" s="1353"/>
      <c r="J78" s="1355"/>
      <c r="K78" s="1355"/>
      <c r="L78" s="1355"/>
      <c r="M78" s="1355"/>
      <c r="N78" s="1355"/>
      <c r="O78" s="1355"/>
      <c r="P78" s="1355"/>
      <c r="Q78" s="355"/>
    </row>
    <row r="79" spans="2:17" ht="15.75" thickBot="1" x14ac:dyDescent="0.3">
      <c r="B79" s="394"/>
      <c r="C79" s="699" t="s">
        <v>464</v>
      </c>
      <c r="D79" s="354"/>
      <c r="E79" s="1208"/>
      <c r="F79" s="1208"/>
      <c r="G79" s="1208"/>
      <c r="H79" s="2474" t="s">
        <v>457</v>
      </c>
      <c r="I79" s="2475"/>
      <c r="J79" s="446" t="s">
        <v>404</v>
      </c>
      <c r="K79" s="447" t="s">
        <v>405</v>
      </c>
      <c r="L79" s="447" t="s">
        <v>406</v>
      </c>
      <c r="M79" s="447" t="s">
        <v>407</v>
      </c>
      <c r="N79" s="447" t="s">
        <v>408</v>
      </c>
      <c r="O79" s="447" t="s">
        <v>409</v>
      </c>
      <c r="P79" s="448" t="s">
        <v>410</v>
      </c>
      <c r="Q79" s="355"/>
    </row>
    <row r="80" spans="2:17" x14ac:dyDescent="0.25">
      <c r="B80" s="394"/>
      <c r="C80" s="2523"/>
      <c r="D80" s="2524"/>
      <c r="E80" s="2524"/>
      <c r="F80" s="2524"/>
      <c r="G80" s="2525"/>
      <c r="H80" s="2517"/>
      <c r="I80" s="2518"/>
      <c r="J80" s="1678">
        <v>0</v>
      </c>
      <c r="K80" s="1679">
        <v>0</v>
      </c>
      <c r="L80" s="1679">
        <v>0</v>
      </c>
      <c r="M80" s="1679">
        <v>0</v>
      </c>
      <c r="N80" s="1679">
        <v>0</v>
      </c>
      <c r="O80" s="1679">
        <v>0</v>
      </c>
      <c r="P80" s="1680">
        <v>0</v>
      </c>
      <c r="Q80" s="355"/>
    </row>
    <row r="81" spans="2:17" x14ac:dyDescent="0.25">
      <c r="B81" s="394"/>
      <c r="C81" s="2526"/>
      <c r="D81" s="2527"/>
      <c r="E81" s="2527"/>
      <c r="F81" s="2527"/>
      <c r="G81" s="2528"/>
      <c r="H81" s="2519"/>
      <c r="I81" s="2520"/>
      <c r="J81" s="1681">
        <v>0</v>
      </c>
      <c r="K81" s="1682">
        <v>0</v>
      </c>
      <c r="L81" s="1682">
        <v>0</v>
      </c>
      <c r="M81" s="1682">
        <v>0</v>
      </c>
      <c r="N81" s="1682">
        <v>0</v>
      </c>
      <c r="O81" s="1682">
        <v>0</v>
      </c>
      <c r="P81" s="1683">
        <v>0</v>
      </c>
      <c r="Q81" s="355"/>
    </row>
    <row r="82" spans="2:17" x14ac:dyDescent="0.25">
      <c r="B82" s="394"/>
      <c r="C82" s="2526"/>
      <c r="D82" s="2527"/>
      <c r="E82" s="2527"/>
      <c r="F82" s="2527"/>
      <c r="G82" s="2528"/>
      <c r="H82" s="2519"/>
      <c r="I82" s="2520"/>
      <c r="J82" s="1687">
        <v>0</v>
      </c>
      <c r="K82" s="1688">
        <v>0</v>
      </c>
      <c r="L82" s="1688">
        <v>0</v>
      </c>
      <c r="M82" s="1688">
        <v>0</v>
      </c>
      <c r="N82" s="1688">
        <v>0</v>
      </c>
      <c r="O82" s="1688">
        <v>0</v>
      </c>
      <c r="P82" s="1689">
        <v>0</v>
      </c>
      <c r="Q82" s="355"/>
    </row>
    <row r="83" spans="2:17" ht="15.75" thickBot="1" x14ac:dyDescent="0.3">
      <c r="B83" s="394"/>
      <c r="C83" s="2529" t="s">
        <v>460</v>
      </c>
      <c r="D83" s="2530"/>
      <c r="E83" s="2530"/>
      <c r="F83" s="2530"/>
      <c r="G83" s="2531"/>
      <c r="H83" s="2521">
        <v>0</v>
      </c>
      <c r="I83" s="2522"/>
      <c r="J83" s="1690">
        <v>0</v>
      </c>
      <c r="K83" s="1691">
        <v>0</v>
      </c>
      <c r="L83" s="1691">
        <v>0</v>
      </c>
      <c r="M83" s="1691">
        <v>0</v>
      </c>
      <c r="N83" s="1691">
        <v>0</v>
      </c>
      <c r="O83" s="1691">
        <v>0</v>
      </c>
      <c r="P83" s="1692">
        <v>0</v>
      </c>
      <c r="Q83" s="355"/>
    </row>
    <row r="84" spans="2:17" ht="16.5" thickTop="1" thickBot="1" x14ac:dyDescent="0.3">
      <c r="B84" s="394"/>
      <c r="C84" s="1208"/>
      <c r="D84" s="1208"/>
      <c r="E84" s="1208"/>
      <c r="F84" s="2491" t="s">
        <v>465</v>
      </c>
      <c r="G84" s="2491"/>
      <c r="H84" s="2491"/>
      <c r="I84" s="2492"/>
      <c r="J84" s="489">
        <f>SUM(J80:J83)</f>
        <v>0</v>
      </c>
      <c r="K84" s="490">
        <f t="shared" ref="K84:P84" si="21">SUM(K80:K83)</f>
        <v>0</v>
      </c>
      <c r="L84" s="490">
        <f t="shared" si="21"/>
        <v>0</v>
      </c>
      <c r="M84" s="490">
        <f t="shared" si="21"/>
        <v>0</v>
      </c>
      <c r="N84" s="490">
        <f t="shared" si="21"/>
        <v>0</v>
      </c>
      <c r="O84" s="490">
        <f t="shared" si="21"/>
        <v>0</v>
      </c>
      <c r="P84" s="491">
        <f t="shared" si="21"/>
        <v>0</v>
      </c>
      <c r="Q84" s="355"/>
    </row>
    <row r="85" spans="2:17" ht="7.5" customHeight="1" thickBot="1" x14ac:dyDescent="0.3">
      <c r="B85" s="394"/>
      <c r="C85" s="1208"/>
      <c r="D85" s="1208"/>
      <c r="E85" s="1208"/>
      <c r="F85" s="1208"/>
      <c r="G85" s="1208"/>
      <c r="H85" s="1208"/>
      <c r="I85" s="1208"/>
      <c r="J85" s="1208"/>
      <c r="K85" s="1208"/>
      <c r="L85" s="1208"/>
      <c r="M85" s="1208"/>
      <c r="N85" s="1208"/>
      <c r="O85" s="1208"/>
      <c r="P85" s="1208"/>
      <c r="Q85" s="355"/>
    </row>
    <row r="86" spans="2:17" x14ac:dyDescent="0.25">
      <c r="B86" s="394"/>
      <c r="C86" s="1208"/>
      <c r="D86" s="1208"/>
      <c r="E86" s="1208"/>
      <c r="F86" s="2491" t="s">
        <v>466</v>
      </c>
      <c r="G86" s="2491"/>
      <c r="H86" s="2491"/>
      <c r="I86" s="2492"/>
      <c r="J86" s="2073">
        <f>IFERROR(J68/(J75+J84),"$0 ")</f>
        <v>1.2113583217209545</v>
      </c>
      <c r="K86" s="2074">
        <f t="shared" ref="K86:P86" si="22">IFERROR(K68/(K75+K84),"$0 ")</f>
        <v>1.2316724269508799</v>
      </c>
      <c r="L86" s="2074">
        <f t="shared" si="22"/>
        <v>1.25218834638728</v>
      </c>
      <c r="M86" s="2074">
        <f t="shared" si="22"/>
        <v>1.2729000822167436</v>
      </c>
      <c r="N86" s="2074">
        <f t="shared" si="22"/>
        <v>1.2938010868966758</v>
      </c>
      <c r="O86" s="2074">
        <f t="shared" si="22"/>
        <v>1.3148842348887124</v>
      </c>
      <c r="P86" s="2075">
        <f t="shared" si="22"/>
        <v>1.3361417931559232</v>
      </c>
      <c r="Q86" s="355"/>
    </row>
    <row r="87" spans="2:17" ht="15.75" thickBot="1" x14ac:dyDescent="0.3">
      <c r="B87" s="394"/>
      <c r="C87" s="1208"/>
      <c r="D87" s="1208"/>
      <c r="E87" s="1208"/>
      <c r="F87" s="2491" t="s">
        <v>467</v>
      </c>
      <c r="G87" s="2491"/>
      <c r="H87" s="2493"/>
      <c r="I87" s="2494"/>
      <c r="J87" s="1356">
        <f t="shared" ref="J87:P87" si="23">J77-J84</f>
        <v>97072.650000000023</v>
      </c>
      <c r="K87" s="1357">
        <f t="shared" si="23"/>
        <v>106402.51225000015</v>
      </c>
      <c r="L87" s="1358">
        <f t="shared" si="23"/>
        <v>115825.06372874998</v>
      </c>
      <c r="M87" s="1358">
        <f t="shared" si="23"/>
        <v>125337.54976050602</v>
      </c>
      <c r="N87" s="1358">
        <f t="shared" si="23"/>
        <v>134936.96318990528</v>
      </c>
      <c r="O87" s="1358">
        <f t="shared" si="23"/>
        <v>144620.03139968787</v>
      </c>
      <c r="P87" s="1359">
        <f t="shared" si="23"/>
        <v>154383.20276065241</v>
      </c>
      <c r="Q87" s="355"/>
    </row>
    <row r="88" spans="2:17" ht="9" customHeight="1" thickBot="1" x14ac:dyDescent="0.3">
      <c r="B88" s="1307"/>
      <c r="C88" s="360"/>
      <c r="D88" s="577"/>
      <c r="E88" s="360"/>
      <c r="F88" s="360"/>
      <c r="G88" s="360"/>
      <c r="H88" s="360"/>
      <c r="I88" s="360"/>
      <c r="J88" s="360"/>
      <c r="K88" s="360"/>
      <c r="L88" s="360"/>
      <c r="M88" s="360"/>
      <c r="N88" s="360"/>
      <c r="O88" s="360"/>
      <c r="P88" s="360"/>
      <c r="Q88" s="361"/>
    </row>
    <row r="89" spans="2:17" ht="9" customHeight="1" x14ac:dyDescent="0.25">
      <c r="B89" s="511"/>
      <c r="C89" s="512"/>
      <c r="D89" s="512"/>
      <c r="E89" s="512"/>
      <c r="F89" s="512"/>
      <c r="G89" s="512"/>
      <c r="H89" s="512"/>
      <c r="I89" s="512"/>
      <c r="J89" s="512"/>
      <c r="K89" s="512"/>
      <c r="L89" s="512"/>
      <c r="M89" s="512"/>
      <c r="N89" s="512"/>
      <c r="O89" s="512"/>
      <c r="P89" s="512"/>
      <c r="Q89" s="513"/>
    </row>
    <row r="90" spans="2:17" ht="18.75" x14ac:dyDescent="0.3">
      <c r="B90" s="514"/>
      <c r="C90" s="2225" t="s">
        <v>1068</v>
      </c>
      <c r="D90" s="2225"/>
      <c r="E90" s="2225"/>
      <c r="F90" s="2225"/>
      <c r="G90" s="2225"/>
      <c r="H90" s="2225"/>
      <c r="I90" s="2225"/>
      <c r="J90" s="2225"/>
      <c r="K90" s="2225"/>
      <c r="L90" s="2225"/>
      <c r="M90" s="2225"/>
      <c r="N90" s="2225"/>
      <c r="O90" s="2225"/>
      <c r="P90" s="2225"/>
      <c r="Q90" s="516"/>
    </row>
    <row r="91" spans="2:17" x14ac:dyDescent="0.25">
      <c r="B91" s="514"/>
      <c r="C91" s="515"/>
      <c r="D91" s="515"/>
      <c r="E91" s="515"/>
      <c r="F91" s="515"/>
      <c r="G91" s="515"/>
      <c r="H91" s="515"/>
      <c r="I91" s="515"/>
      <c r="J91" s="515"/>
      <c r="K91" s="515"/>
      <c r="L91" s="515"/>
      <c r="M91" s="515"/>
      <c r="N91" s="515"/>
      <c r="O91" s="515"/>
      <c r="P91" s="515"/>
      <c r="Q91" s="516"/>
    </row>
    <row r="92" spans="2:17" x14ac:dyDescent="0.25">
      <c r="B92" s="514"/>
      <c r="C92" s="1123" t="s">
        <v>59</v>
      </c>
      <c r="D92" s="1122" t="str">
        <f>IF('1A'!G101="","Enter Project Name on Form 1A",'1A'!G101)</f>
        <v>Enter Project Name on Form 1A</v>
      </c>
      <c r="E92" s="1122"/>
      <c r="F92" s="1122"/>
      <c r="G92" s="1122"/>
      <c r="H92" s="1122"/>
      <c r="I92" s="1122"/>
      <c r="J92" s="1122"/>
      <c r="K92" s="1208"/>
      <c r="L92" s="1208"/>
      <c r="M92" s="1208"/>
      <c r="N92" s="1123"/>
      <c r="O92" s="1123"/>
      <c r="P92" s="1123"/>
      <c r="Q92" s="516"/>
    </row>
    <row r="93" spans="2:17" ht="3.75" customHeight="1" x14ac:dyDescent="0.25">
      <c r="B93" s="514"/>
      <c r="C93" s="1123"/>
      <c r="D93" s="1123"/>
      <c r="E93" s="1123"/>
      <c r="F93" s="1123"/>
      <c r="G93" s="1123"/>
      <c r="H93" s="1123"/>
      <c r="I93" s="1123"/>
      <c r="J93" s="1208"/>
      <c r="K93" s="1208"/>
      <c r="L93" s="1208"/>
      <c r="M93" s="1208"/>
      <c r="N93" s="1123"/>
      <c r="O93" s="1123"/>
      <c r="P93" s="1123"/>
      <c r="Q93" s="516"/>
    </row>
    <row r="94" spans="2:17" x14ac:dyDescent="0.25">
      <c r="B94" s="517"/>
      <c r="C94" s="1123" t="s">
        <v>402</v>
      </c>
      <c r="D94" s="1369">
        <f>IF(N11=0,"",N11)</f>
        <v>42262</v>
      </c>
      <c r="E94" s="518"/>
      <c r="F94" s="518"/>
      <c r="G94" s="518"/>
      <c r="H94" s="518"/>
      <c r="I94" s="518"/>
      <c r="J94" s="519"/>
      <c r="K94" s="519"/>
      <c r="L94" s="519"/>
      <c r="M94" s="519"/>
      <c r="N94" s="519"/>
      <c r="O94" s="520"/>
      <c r="P94" s="519"/>
      <c r="Q94" s="521"/>
    </row>
    <row r="95" spans="2:17" ht="7.5" customHeight="1" x14ac:dyDescent="0.25">
      <c r="B95" s="394"/>
      <c r="C95" s="354"/>
      <c r="D95" s="354"/>
      <c r="E95" s="354"/>
      <c r="F95" s="354"/>
      <c r="G95" s="354"/>
      <c r="H95" s="354"/>
      <c r="I95" s="354"/>
      <c r="J95" s="354"/>
      <c r="K95" s="354"/>
      <c r="L95" s="354"/>
      <c r="M95" s="354"/>
      <c r="N95" s="354"/>
      <c r="O95" s="354"/>
      <c r="P95" s="354"/>
      <c r="Q95" s="355"/>
    </row>
    <row r="96" spans="2:17" ht="15.75" thickBot="1" x14ac:dyDescent="0.3">
      <c r="B96" s="523"/>
      <c r="C96" s="442" t="s">
        <v>403</v>
      </c>
      <c r="D96" s="443"/>
      <c r="E96" s="441"/>
      <c r="F96" s="441"/>
      <c r="G96" s="441"/>
      <c r="H96" s="441"/>
      <c r="I96" s="441"/>
      <c r="J96" s="443"/>
      <c r="K96" s="443"/>
      <c r="L96" s="443"/>
      <c r="M96" s="443"/>
      <c r="N96" s="443"/>
      <c r="O96" s="445"/>
      <c r="P96" s="443"/>
      <c r="Q96" s="525"/>
    </row>
    <row r="97" spans="2:17" ht="15.75" thickBot="1" x14ac:dyDescent="0.3">
      <c r="B97" s="394"/>
      <c r="C97" s="532"/>
      <c r="D97" s="1208"/>
      <c r="E97" s="1208"/>
      <c r="F97" s="1208"/>
      <c r="G97" s="1208"/>
      <c r="H97" s="1208"/>
      <c r="I97" s="492" t="s">
        <v>468</v>
      </c>
      <c r="J97" s="493" t="s">
        <v>469</v>
      </c>
      <c r="K97" s="447" t="s">
        <v>470</v>
      </c>
      <c r="L97" s="447" t="s">
        <v>471</v>
      </c>
      <c r="M97" s="447" t="s">
        <v>472</v>
      </c>
      <c r="N97" s="447" t="s">
        <v>473</v>
      </c>
      <c r="O97" s="447" t="s">
        <v>474</v>
      </c>
      <c r="P97" s="448" t="s">
        <v>475</v>
      </c>
      <c r="Q97" s="355"/>
    </row>
    <row r="98" spans="2:17" x14ac:dyDescent="0.25">
      <c r="B98" s="394"/>
      <c r="C98" s="524" t="s">
        <v>411</v>
      </c>
      <c r="D98" s="1208"/>
      <c r="E98" s="1208"/>
      <c r="F98" s="1208"/>
      <c r="G98" s="1208"/>
      <c r="H98" s="1208"/>
      <c r="I98" s="450"/>
      <c r="J98" s="451"/>
      <c r="K98" s="451"/>
      <c r="L98" s="451"/>
      <c r="M98" s="451"/>
      <c r="N98" s="451"/>
      <c r="O98" s="451"/>
      <c r="P98" s="452"/>
      <c r="Q98" s="355"/>
    </row>
    <row r="99" spans="2:17" x14ac:dyDescent="0.25">
      <c r="B99" s="394"/>
      <c r="C99" s="578" t="s">
        <v>413</v>
      </c>
      <c r="D99" s="1208"/>
      <c r="E99" s="1208"/>
      <c r="F99" s="1208"/>
      <c r="G99" s="1208"/>
      <c r="H99" s="1208"/>
      <c r="I99" s="568">
        <f>P18+(P18*$H18)</f>
        <v>1193159.9668450202</v>
      </c>
      <c r="J99" s="579">
        <f>I99+(I99*$H18)</f>
        <v>1222988.9660161457</v>
      </c>
      <c r="K99" s="579">
        <f t="shared" ref="K99:P99" si="24">J99+(J99*$H18)</f>
        <v>1253563.6901665493</v>
      </c>
      <c r="L99" s="579">
        <f t="shared" si="24"/>
        <v>1284902.782420713</v>
      </c>
      <c r="M99" s="579">
        <f t="shared" si="24"/>
        <v>1317025.3519812308</v>
      </c>
      <c r="N99" s="579">
        <f t="shared" si="24"/>
        <v>1349950.9857807616</v>
      </c>
      <c r="O99" s="579">
        <f t="shared" si="24"/>
        <v>1383699.7604252805</v>
      </c>
      <c r="P99" s="580">
        <f t="shared" si="24"/>
        <v>1418292.2544359125</v>
      </c>
      <c r="Q99" s="355"/>
    </row>
    <row r="100" spans="2:17" x14ac:dyDescent="0.25">
      <c r="B100" s="394"/>
      <c r="C100" s="578" t="s">
        <v>361</v>
      </c>
      <c r="D100" s="1208"/>
      <c r="E100" s="1208"/>
      <c r="F100" s="1208"/>
      <c r="G100" s="1208"/>
      <c r="H100" s="1208"/>
      <c r="I100" s="1375"/>
      <c r="J100" s="1376"/>
      <c r="K100" s="1376"/>
      <c r="L100" s="1376"/>
      <c r="M100" s="1376"/>
      <c r="N100" s="1376"/>
      <c r="O100" s="1376"/>
      <c r="P100" s="1377"/>
      <c r="Q100" s="355"/>
    </row>
    <row r="101" spans="2:17" x14ac:dyDescent="0.25">
      <c r="B101" s="394"/>
      <c r="C101" s="578" t="s">
        <v>371</v>
      </c>
      <c r="D101" s="1208"/>
      <c r="E101" s="1208"/>
      <c r="F101" s="1208"/>
      <c r="G101" s="1208"/>
      <c r="H101" s="1208"/>
      <c r="I101" s="568">
        <v>0</v>
      </c>
      <c r="J101" s="579">
        <v>0</v>
      </c>
      <c r="K101" s="579">
        <v>0</v>
      </c>
      <c r="L101" s="579">
        <v>0</v>
      </c>
      <c r="M101" s="579">
        <v>0</v>
      </c>
      <c r="N101" s="579">
        <v>0</v>
      </c>
      <c r="O101" s="579">
        <v>0</v>
      </c>
      <c r="P101" s="580">
        <v>0</v>
      </c>
      <c r="Q101" s="355"/>
    </row>
    <row r="102" spans="2:17" x14ac:dyDescent="0.25">
      <c r="B102" s="394"/>
      <c r="C102" s="578" t="s">
        <v>476</v>
      </c>
      <c r="D102" s="2506" t="str">
        <f>IF(D21=0,"",D21)</f>
        <v>Laundry</v>
      </c>
      <c r="E102" s="2507"/>
      <c r="F102" s="2507"/>
      <c r="G102" s="591"/>
      <c r="H102" s="532"/>
      <c r="I102" s="568">
        <f>P21+(P21*$H21)</f>
        <v>10000</v>
      </c>
      <c r="J102" s="579">
        <f>I102+(I102*$H21)</f>
        <v>10000</v>
      </c>
      <c r="K102" s="579">
        <f t="shared" ref="K102:P103" si="25">J102+(J102*$H21)</f>
        <v>10000</v>
      </c>
      <c r="L102" s="579">
        <f t="shared" si="25"/>
        <v>10000</v>
      </c>
      <c r="M102" s="579">
        <f t="shared" si="25"/>
        <v>10000</v>
      </c>
      <c r="N102" s="579">
        <f t="shared" si="25"/>
        <v>10000</v>
      </c>
      <c r="O102" s="579">
        <f t="shared" si="25"/>
        <v>10000</v>
      </c>
      <c r="P102" s="580">
        <f t="shared" si="25"/>
        <v>10000</v>
      </c>
      <c r="Q102" s="355"/>
    </row>
    <row r="103" spans="2:17" x14ac:dyDescent="0.25">
      <c r="B103" s="394"/>
      <c r="C103" s="560" t="s">
        <v>476</v>
      </c>
      <c r="D103" s="2506" t="str">
        <f>IF(D22=0,"",D22)</f>
        <v>Fee/Interest</v>
      </c>
      <c r="E103" s="2507"/>
      <c r="F103" s="2507"/>
      <c r="G103" s="591"/>
      <c r="H103" s="532"/>
      <c r="I103" s="568">
        <f>P22+(P22*$H22)</f>
        <v>18290</v>
      </c>
      <c r="J103" s="579">
        <f>I103+(I103*$H22)</f>
        <v>18290</v>
      </c>
      <c r="K103" s="579">
        <f t="shared" si="25"/>
        <v>18290</v>
      </c>
      <c r="L103" s="579">
        <f t="shared" si="25"/>
        <v>18290</v>
      </c>
      <c r="M103" s="579">
        <f t="shared" si="25"/>
        <v>18290</v>
      </c>
      <c r="N103" s="579">
        <f t="shared" si="25"/>
        <v>18290</v>
      </c>
      <c r="O103" s="579">
        <f t="shared" si="25"/>
        <v>18290</v>
      </c>
      <c r="P103" s="580">
        <f t="shared" si="25"/>
        <v>18290</v>
      </c>
      <c r="Q103" s="355"/>
    </row>
    <row r="104" spans="2:17" x14ac:dyDescent="0.25">
      <c r="B104" s="394"/>
      <c r="C104" s="532" t="s">
        <v>415</v>
      </c>
      <c r="D104" s="1208"/>
      <c r="E104" s="1208"/>
      <c r="F104" s="1208"/>
      <c r="G104" s="1208"/>
      <c r="H104" s="1208"/>
      <c r="I104" s="494">
        <f>SUM(I99:I103)</f>
        <v>1221449.9668450202</v>
      </c>
      <c r="J104" s="495">
        <f t="shared" ref="J104:O104" si="26">SUM(J99:J103)</f>
        <v>1251278.9660161457</v>
      </c>
      <c r="K104" s="495">
        <f t="shared" si="26"/>
        <v>1281853.6901665493</v>
      </c>
      <c r="L104" s="495">
        <f t="shared" si="26"/>
        <v>1313192.782420713</v>
      </c>
      <c r="M104" s="495">
        <f t="shared" si="26"/>
        <v>1345315.3519812308</v>
      </c>
      <c r="N104" s="495">
        <f t="shared" si="26"/>
        <v>1378240.9857807616</v>
      </c>
      <c r="O104" s="495">
        <f t="shared" si="26"/>
        <v>1411989.7604252805</v>
      </c>
      <c r="P104" s="496">
        <f>SUM(P99:P103)</f>
        <v>1446582.2544359125</v>
      </c>
      <c r="Q104" s="355"/>
    </row>
    <row r="105" spans="2:17" x14ac:dyDescent="0.25">
      <c r="B105" s="394"/>
      <c r="C105" s="532"/>
      <c r="D105" s="1208"/>
      <c r="E105" s="1208"/>
      <c r="F105" s="1208"/>
      <c r="G105" s="1208"/>
      <c r="H105" s="1208"/>
      <c r="I105" s="497"/>
      <c r="J105" s="498"/>
      <c r="K105" s="498"/>
      <c r="L105" s="498"/>
      <c r="M105" s="498"/>
      <c r="N105" s="498"/>
      <c r="O105" s="498"/>
      <c r="P105" s="499"/>
      <c r="Q105" s="355"/>
    </row>
    <row r="106" spans="2:17" x14ac:dyDescent="0.25">
      <c r="B106" s="394"/>
      <c r="C106" s="532" t="s">
        <v>417</v>
      </c>
      <c r="D106" s="1208"/>
      <c r="E106" s="1208"/>
      <c r="F106" s="1208"/>
      <c r="G106" s="1208"/>
      <c r="H106" s="1208"/>
      <c r="I106" s="1693">
        <v>0</v>
      </c>
      <c r="J106" s="1694">
        <v>0</v>
      </c>
      <c r="K106" s="1694">
        <v>0</v>
      </c>
      <c r="L106" s="1694">
        <v>0</v>
      </c>
      <c r="M106" s="1694">
        <v>0</v>
      </c>
      <c r="N106" s="1694">
        <v>0</v>
      </c>
      <c r="O106" s="1694">
        <v>0</v>
      </c>
      <c r="P106" s="1695">
        <v>0</v>
      </c>
      <c r="Q106" s="355"/>
    </row>
    <row r="107" spans="2:17" x14ac:dyDescent="0.25">
      <c r="B107" s="394"/>
      <c r="C107" s="532"/>
      <c r="D107" s="1208"/>
      <c r="E107" s="1208"/>
      <c r="F107" s="1208"/>
      <c r="G107" s="1208"/>
      <c r="H107" s="1208"/>
      <c r="I107" s="497"/>
      <c r="J107" s="498"/>
      <c r="K107" s="498"/>
      <c r="L107" s="498"/>
      <c r="M107" s="498"/>
      <c r="N107" s="498"/>
      <c r="O107" s="498"/>
      <c r="P107" s="499"/>
      <c r="Q107" s="355"/>
    </row>
    <row r="108" spans="2:17" ht="15.75" thickBot="1" x14ac:dyDescent="0.3">
      <c r="B108" s="394"/>
      <c r="C108" s="535" t="s">
        <v>418</v>
      </c>
      <c r="D108" s="1336"/>
      <c r="E108" s="1336"/>
      <c r="F108" s="1336"/>
      <c r="G108" s="1336"/>
      <c r="H108" s="1336"/>
      <c r="I108" s="1696">
        <v>0</v>
      </c>
      <c r="J108" s="1697">
        <v>0</v>
      </c>
      <c r="K108" s="1697">
        <v>0</v>
      </c>
      <c r="L108" s="1697">
        <v>0</v>
      </c>
      <c r="M108" s="1697">
        <v>0</v>
      </c>
      <c r="N108" s="1697">
        <v>0</v>
      </c>
      <c r="O108" s="1697">
        <v>0</v>
      </c>
      <c r="P108" s="1698">
        <v>0</v>
      </c>
      <c r="Q108" s="355"/>
    </row>
    <row r="109" spans="2:17" ht="15.75" thickTop="1" x14ac:dyDescent="0.25">
      <c r="B109" s="394"/>
      <c r="C109" s="524" t="s">
        <v>419</v>
      </c>
      <c r="D109" s="1208"/>
      <c r="E109" s="1208"/>
      <c r="F109" s="1208"/>
      <c r="G109" s="1208"/>
      <c r="H109" s="1208"/>
      <c r="I109" s="500">
        <f>I104+I106+I108</f>
        <v>1221449.9668450202</v>
      </c>
      <c r="J109" s="501">
        <f t="shared" ref="J109:O109" si="27">J104+J106+J108</f>
        <v>1251278.9660161457</v>
      </c>
      <c r="K109" s="501">
        <f t="shared" si="27"/>
        <v>1281853.6901665493</v>
      </c>
      <c r="L109" s="501">
        <f t="shared" si="27"/>
        <v>1313192.782420713</v>
      </c>
      <c r="M109" s="501">
        <f t="shared" si="27"/>
        <v>1345315.3519812308</v>
      </c>
      <c r="N109" s="501">
        <f t="shared" si="27"/>
        <v>1378240.9857807616</v>
      </c>
      <c r="O109" s="501">
        <f t="shared" si="27"/>
        <v>1411989.7604252805</v>
      </c>
      <c r="P109" s="502">
        <f>P104+P106+P108</f>
        <v>1446582.2544359125</v>
      </c>
      <c r="Q109" s="355"/>
    </row>
    <row r="110" spans="2:17" x14ac:dyDescent="0.25">
      <c r="B110" s="394"/>
      <c r="C110" s="524"/>
      <c r="D110" s="1208"/>
      <c r="E110" s="1208"/>
      <c r="F110" s="1208"/>
      <c r="G110" s="1208"/>
      <c r="H110" s="1208"/>
      <c r="I110" s="497"/>
      <c r="J110" s="498"/>
      <c r="K110" s="498"/>
      <c r="L110" s="498"/>
      <c r="M110" s="498"/>
      <c r="N110" s="498"/>
      <c r="O110" s="498"/>
      <c r="P110" s="499"/>
      <c r="Q110" s="355"/>
    </row>
    <row r="111" spans="2:17" x14ac:dyDescent="0.25">
      <c r="B111" s="394"/>
      <c r="C111" s="581" t="s">
        <v>477</v>
      </c>
      <c r="D111" s="1208"/>
      <c r="E111" s="1208"/>
      <c r="F111" s="1208"/>
      <c r="G111" s="1208"/>
      <c r="H111" s="1208"/>
      <c r="I111" s="1360">
        <f>-I104*$H30</f>
        <v>-61072.498342251012</v>
      </c>
      <c r="J111" s="1361">
        <f t="shared" ref="J111:P111" si="28">-J104*$H30</f>
        <v>-62563.948300807286</v>
      </c>
      <c r="K111" s="1361">
        <f t="shared" si="28"/>
        <v>-64092.684508327467</v>
      </c>
      <c r="L111" s="1361">
        <f t="shared" si="28"/>
        <v>-65659.639121035652</v>
      </c>
      <c r="M111" s="1361">
        <f t="shared" si="28"/>
        <v>-67265.767599061539</v>
      </c>
      <c r="N111" s="1361">
        <f t="shared" si="28"/>
        <v>-68912.049289038085</v>
      </c>
      <c r="O111" s="1361">
        <f t="shared" si="28"/>
        <v>-70599.488021264027</v>
      </c>
      <c r="P111" s="1362">
        <f t="shared" si="28"/>
        <v>-72329.112721795624</v>
      </c>
      <c r="Q111" s="355"/>
    </row>
    <row r="112" spans="2:17" ht="15.75" thickBot="1" x14ac:dyDescent="0.3">
      <c r="B112" s="394"/>
      <c r="C112" s="539" t="s">
        <v>478</v>
      </c>
      <c r="D112" s="1336"/>
      <c r="E112" s="1336"/>
      <c r="F112" s="1336"/>
      <c r="G112" s="1336"/>
      <c r="H112" s="1336"/>
      <c r="I112" s="1363">
        <f>-I108*$H31</f>
        <v>0</v>
      </c>
      <c r="J112" s="1364">
        <f>-J108*$H31</f>
        <v>0</v>
      </c>
      <c r="K112" s="1364">
        <f t="shared" ref="K112:P112" si="29">-K108*$H31</f>
        <v>0</v>
      </c>
      <c r="L112" s="1364">
        <f t="shared" si="29"/>
        <v>0</v>
      </c>
      <c r="M112" s="1364">
        <f t="shared" si="29"/>
        <v>0</v>
      </c>
      <c r="N112" s="1364">
        <f t="shared" si="29"/>
        <v>0</v>
      </c>
      <c r="O112" s="1364">
        <f t="shared" si="29"/>
        <v>0</v>
      </c>
      <c r="P112" s="1365">
        <f t="shared" si="29"/>
        <v>0</v>
      </c>
      <c r="Q112" s="355"/>
    </row>
    <row r="113" spans="2:17" ht="16.5" thickTop="1" thickBot="1" x14ac:dyDescent="0.3">
      <c r="B113" s="394"/>
      <c r="C113" s="540" t="s">
        <v>423</v>
      </c>
      <c r="D113" s="1208"/>
      <c r="E113" s="1208"/>
      <c r="F113" s="1208"/>
      <c r="G113" s="1208"/>
      <c r="H113" s="1208"/>
      <c r="I113" s="503">
        <f>I109+I111+I112</f>
        <v>1160377.4685027692</v>
      </c>
      <c r="J113" s="504">
        <f t="shared" ref="J113:O113" si="30">J109+J111+J112</f>
        <v>1188715.0177153384</v>
      </c>
      <c r="K113" s="505">
        <f t="shared" si="30"/>
        <v>1217761.0056582219</v>
      </c>
      <c r="L113" s="505">
        <f t="shared" si="30"/>
        <v>1247533.1432996774</v>
      </c>
      <c r="M113" s="505">
        <f t="shared" si="30"/>
        <v>1278049.5843821692</v>
      </c>
      <c r="N113" s="505">
        <f t="shared" si="30"/>
        <v>1309328.9364917234</v>
      </c>
      <c r="O113" s="505">
        <f t="shared" si="30"/>
        <v>1341390.2724040165</v>
      </c>
      <c r="P113" s="506">
        <f>P109+P111+P112</f>
        <v>1374253.1417141168</v>
      </c>
      <c r="Q113" s="355"/>
    </row>
    <row r="114" spans="2:17" ht="7.5" customHeight="1" x14ac:dyDescent="0.25">
      <c r="B114" s="394"/>
      <c r="C114" s="354"/>
      <c r="D114" s="354"/>
      <c r="E114" s="354"/>
      <c r="F114" s="354"/>
      <c r="G114" s="354"/>
      <c r="H114" s="354"/>
      <c r="I114" s="354"/>
      <c r="J114" s="354"/>
      <c r="K114" s="354"/>
      <c r="L114" s="354"/>
      <c r="M114" s="354"/>
      <c r="N114" s="354"/>
      <c r="O114" s="354"/>
      <c r="P114" s="354"/>
      <c r="Q114" s="355"/>
    </row>
    <row r="115" spans="2:17" ht="15.75" thickBot="1" x14ac:dyDescent="0.3">
      <c r="B115" s="517"/>
      <c r="C115" s="462" t="s">
        <v>424</v>
      </c>
      <c r="D115" s="463"/>
      <c r="E115" s="463"/>
      <c r="F115" s="463"/>
      <c r="G115" s="463"/>
      <c r="H115" s="463"/>
      <c r="I115" s="463"/>
      <c r="J115" s="463"/>
      <c r="K115" s="463"/>
      <c r="L115" s="463"/>
      <c r="M115" s="464"/>
      <c r="N115" s="463"/>
      <c r="O115" s="463"/>
      <c r="P115" s="463"/>
      <c r="Q115" s="521"/>
    </row>
    <row r="116" spans="2:17" ht="15.75" thickBot="1" x14ac:dyDescent="0.3">
      <c r="B116" s="517"/>
      <c r="C116" s="524" t="s">
        <v>425</v>
      </c>
      <c r="D116" s="515"/>
      <c r="E116" s="532"/>
      <c r="F116" s="354"/>
      <c r="G116" s="354"/>
      <c r="H116" s="515"/>
      <c r="I116" s="446" t="s">
        <v>468</v>
      </c>
      <c r="J116" s="446" t="s">
        <v>469</v>
      </c>
      <c r="K116" s="446" t="s">
        <v>470</v>
      </c>
      <c r="L116" s="446" t="s">
        <v>471</v>
      </c>
      <c r="M116" s="446" t="s">
        <v>472</v>
      </c>
      <c r="N116" s="446" t="s">
        <v>473</v>
      </c>
      <c r="O116" s="446" t="s">
        <v>474</v>
      </c>
      <c r="P116" s="492" t="s">
        <v>475</v>
      </c>
      <c r="Q116" s="516"/>
    </row>
    <row r="117" spans="2:17" x14ac:dyDescent="0.25">
      <c r="B117" s="517"/>
      <c r="C117" s="543" t="s">
        <v>427</v>
      </c>
      <c r="D117" s="544"/>
      <c r="E117" s="545"/>
      <c r="F117" s="544"/>
      <c r="G117" s="544"/>
      <c r="H117" s="545"/>
      <c r="I117" s="547">
        <f t="shared" ref="I117:I137" si="31">P36+($F36*P36)</f>
        <v>122282.13148454172</v>
      </c>
      <c r="J117" s="548">
        <f t="shared" ref="J117:P132" si="32">I117+(I117*$F36)</f>
        <v>126562.00608650068</v>
      </c>
      <c r="K117" s="548">
        <f t="shared" si="32"/>
        <v>130991.6762995282</v>
      </c>
      <c r="L117" s="548">
        <f t="shared" si="32"/>
        <v>135576.38497001168</v>
      </c>
      <c r="M117" s="548">
        <f t="shared" si="32"/>
        <v>140321.5584439621</v>
      </c>
      <c r="N117" s="548">
        <f t="shared" si="32"/>
        <v>145232.81298950079</v>
      </c>
      <c r="O117" s="548">
        <f t="shared" si="32"/>
        <v>150315.96144413331</v>
      </c>
      <c r="P117" s="549">
        <f t="shared" si="32"/>
        <v>155577.02009467798</v>
      </c>
      <c r="Q117" s="516"/>
    </row>
    <row r="118" spans="2:17" x14ac:dyDescent="0.25">
      <c r="B118" s="517"/>
      <c r="C118" s="551" t="s">
        <v>428</v>
      </c>
      <c r="D118" s="552"/>
      <c r="E118" s="553"/>
      <c r="F118" s="552"/>
      <c r="G118" s="552"/>
      <c r="H118" s="553"/>
      <c r="I118" s="555">
        <f t="shared" si="31"/>
        <v>69885.21282966157</v>
      </c>
      <c r="J118" s="556">
        <f t="shared" si="32"/>
        <v>71632.343150403103</v>
      </c>
      <c r="K118" s="556">
        <f t="shared" si="32"/>
        <v>73423.151729163175</v>
      </c>
      <c r="L118" s="556">
        <f t="shared" si="32"/>
        <v>75258.730522392259</v>
      </c>
      <c r="M118" s="556">
        <f t="shared" si="32"/>
        <v>77140.19878545207</v>
      </c>
      <c r="N118" s="556">
        <f t="shared" si="32"/>
        <v>79068.703755088369</v>
      </c>
      <c r="O118" s="556">
        <f t="shared" si="32"/>
        <v>81045.421348965581</v>
      </c>
      <c r="P118" s="557">
        <f t="shared" si="32"/>
        <v>83071.556882689722</v>
      </c>
      <c r="Q118" s="516"/>
    </row>
    <row r="119" spans="2:17" x14ac:dyDescent="0.25">
      <c r="B119" s="517"/>
      <c r="C119" s="551" t="s">
        <v>429</v>
      </c>
      <c r="D119" s="552"/>
      <c r="E119" s="553"/>
      <c r="F119" s="552"/>
      <c r="G119" s="552"/>
      <c r="H119" s="553"/>
      <c r="I119" s="555">
        <f t="shared" si="31"/>
        <v>10814.373733515878</v>
      </c>
      <c r="J119" s="556">
        <f t="shared" si="32"/>
        <v>11192.876814188934</v>
      </c>
      <c r="K119" s="556">
        <f t="shared" si="32"/>
        <v>11584.627502685547</v>
      </c>
      <c r="L119" s="556">
        <f t="shared" si="32"/>
        <v>11990.089465279541</v>
      </c>
      <c r="M119" s="556">
        <f t="shared" si="32"/>
        <v>12409.742596564325</v>
      </c>
      <c r="N119" s="556">
        <f t="shared" si="32"/>
        <v>12844.083587444076</v>
      </c>
      <c r="O119" s="556">
        <f t="shared" si="32"/>
        <v>13293.626513004619</v>
      </c>
      <c r="P119" s="557">
        <f t="shared" si="32"/>
        <v>13758.903440959781</v>
      </c>
      <c r="Q119" s="516"/>
    </row>
    <row r="120" spans="2:17" x14ac:dyDescent="0.25">
      <c r="B120" s="517"/>
      <c r="C120" s="551" t="s">
        <v>430</v>
      </c>
      <c r="D120" s="553"/>
      <c r="E120" s="552"/>
      <c r="F120" s="582"/>
      <c r="G120" s="582"/>
      <c r="H120" s="553"/>
      <c r="I120" s="555">
        <f t="shared" si="31"/>
        <v>2035.6468204265177</v>
      </c>
      <c r="J120" s="556">
        <f t="shared" si="32"/>
        <v>2106.8944591414456</v>
      </c>
      <c r="K120" s="556">
        <f t="shared" si="32"/>
        <v>2180.6357652113961</v>
      </c>
      <c r="L120" s="556">
        <f t="shared" si="32"/>
        <v>2256.9580169937949</v>
      </c>
      <c r="M120" s="556">
        <f t="shared" si="32"/>
        <v>2335.9515475885778</v>
      </c>
      <c r="N120" s="556">
        <f t="shared" si="32"/>
        <v>2417.7098517541781</v>
      </c>
      <c r="O120" s="556">
        <f t="shared" si="32"/>
        <v>2502.3296965655745</v>
      </c>
      <c r="P120" s="557">
        <f t="shared" si="32"/>
        <v>2589.9112359453698</v>
      </c>
      <c r="Q120" s="516"/>
    </row>
    <row r="121" spans="2:17" x14ac:dyDescent="0.25">
      <c r="B121" s="517"/>
      <c r="C121" s="551" t="s">
        <v>431</v>
      </c>
      <c r="D121" s="552"/>
      <c r="E121" s="553"/>
      <c r="F121" s="552"/>
      <c r="G121" s="552"/>
      <c r="H121" s="553"/>
      <c r="I121" s="555">
        <f t="shared" si="31"/>
        <v>30534.702306397776</v>
      </c>
      <c r="J121" s="556">
        <f t="shared" si="32"/>
        <v>31603.416887121697</v>
      </c>
      <c r="K121" s="556">
        <f t="shared" si="32"/>
        <v>32709.536478170958</v>
      </c>
      <c r="L121" s="556">
        <f t="shared" si="32"/>
        <v>33854.370254906942</v>
      </c>
      <c r="M121" s="556">
        <f t="shared" si="32"/>
        <v>35039.273213828688</v>
      </c>
      <c r="N121" s="556">
        <f t="shared" si="32"/>
        <v>36265.64777631269</v>
      </c>
      <c r="O121" s="556">
        <f t="shared" si="32"/>
        <v>37534.945448483631</v>
      </c>
      <c r="P121" s="557">
        <f t="shared" si="32"/>
        <v>38848.668539180559</v>
      </c>
      <c r="Q121" s="516"/>
    </row>
    <row r="122" spans="2:17" x14ac:dyDescent="0.25">
      <c r="B122" s="517"/>
      <c r="C122" s="551" t="s">
        <v>432</v>
      </c>
      <c r="D122" s="552"/>
      <c r="E122" s="553"/>
      <c r="F122" s="583"/>
      <c r="G122" s="583"/>
      <c r="H122" s="553"/>
      <c r="I122" s="555">
        <f t="shared" si="31"/>
        <v>24196.207019294699</v>
      </c>
      <c r="J122" s="556">
        <f t="shared" si="32"/>
        <v>25043.074264970015</v>
      </c>
      <c r="K122" s="556">
        <f t="shared" si="32"/>
        <v>25919.581864243966</v>
      </c>
      <c r="L122" s="556">
        <f t="shared" si="32"/>
        <v>26826.767229492507</v>
      </c>
      <c r="M122" s="556">
        <f t="shared" si="32"/>
        <v>27765.704082524746</v>
      </c>
      <c r="N122" s="556">
        <f t="shared" si="32"/>
        <v>28737.503725413113</v>
      </c>
      <c r="O122" s="556">
        <f t="shared" si="32"/>
        <v>29743.316355802574</v>
      </c>
      <c r="P122" s="557">
        <f t="shared" si="32"/>
        <v>30784.332428255664</v>
      </c>
      <c r="Q122" s="516"/>
    </row>
    <row r="123" spans="2:17" x14ac:dyDescent="0.25">
      <c r="B123" s="517"/>
      <c r="C123" s="551" t="s">
        <v>433</v>
      </c>
      <c r="D123" s="552"/>
      <c r="E123" s="553"/>
      <c r="F123" s="552"/>
      <c r="G123" s="552"/>
      <c r="H123" s="553"/>
      <c r="I123" s="555">
        <f t="shared" si="31"/>
        <v>918.58562771746597</v>
      </c>
      <c r="J123" s="556">
        <f t="shared" si="32"/>
        <v>950.73612468757733</v>
      </c>
      <c r="K123" s="556">
        <f t="shared" si="32"/>
        <v>984.01188905164258</v>
      </c>
      <c r="L123" s="556">
        <f t="shared" si="32"/>
        <v>1018.45230516845</v>
      </c>
      <c r="M123" s="556">
        <f t="shared" si="32"/>
        <v>1054.0981358493459</v>
      </c>
      <c r="N123" s="556">
        <f t="shared" si="32"/>
        <v>1090.9915706040731</v>
      </c>
      <c r="O123" s="556">
        <f t="shared" si="32"/>
        <v>1129.1762755752156</v>
      </c>
      <c r="P123" s="557">
        <f t="shared" si="32"/>
        <v>1168.6974452203483</v>
      </c>
      <c r="Q123" s="516"/>
    </row>
    <row r="124" spans="2:17" x14ac:dyDescent="0.25">
      <c r="B124" s="517"/>
      <c r="C124" s="551" t="s">
        <v>434</v>
      </c>
      <c r="D124" s="553"/>
      <c r="E124" s="552"/>
      <c r="F124" s="582"/>
      <c r="G124" s="582"/>
      <c r="H124" s="553"/>
      <c r="I124" s="555">
        <f t="shared" si="31"/>
        <v>0</v>
      </c>
      <c r="J124" s="556">
        <f t="shared" si="32"/>
        <v>0</v>
      </c>
      <c r="K124" s="556">
        <f t="shared" si="32"/>
        <v>0</v>
      </c>
      <c r="L124" s="556">
        <f t="shared" si="32"/>
        <v>0</v>
      </c>
      <c r="M124" s="556">
        <f t="shared" si="32"/>
        <v>0</v>
      </c>
      <c r="N124" s="556">
        <f t="shared" si="32"/>
        <v>0</v>
      </c>
      <c r="O124" s="556">
        <f t="shared" si="32"/>
        <v>0</v>
      </c>
      <c r="P124" s="557">
        <f t="shared" si="32"/>
        <v>0</v>
      </c>
      <c r="Q124" s="516"/>
    </row>
    <row r="125" spans="2:17" x14ac:dyDescent="0.25">
      <c r="B125" s="517"/>
      <c r="C125" s="551" t="s">
        <v>435</v>
      </c>
      <c r="D125" s="552"/>
      <c r="E125" s="553"/>
      <c r="F125" s="552"/>
      <c r="G125" s="552"/>
      <c r="H125" s="553"/>
      <c r="I125" s="555">
        <f t="shared" si="31"/>
        <v>9160.4106919193309</v>
      </c>
      <c r="J125" s="556">
        <f t="shared" si="32"/>
        <v>9481.025066136508</v>
      </c>
      <c r="K125" s="556">
        <f t="shared" si="32"/>
        <v>9812.8609434512855</v>
      </c>
      <c r="L125" s="556">
        <f t="shared" si="32"/>
        <v>10156.31107647208</v>
      </c>
      <c r="M125" s="556">
        <f t="shared" si="32"/>
        <v>10511.781964148604</v>
      </c>
      <c r="N125" s="556">
        <f t="shared" si="32"/>
        <v>10879.694332893805</v>
      </c>
      <c r="O125" s="556">
        <f t="shared" si="32"/>
        <v>11260.483634545088</v>
      </c>
      <c r="P125" s="557">
        <f t="shared" si="32"/>
        <v>11654.600561754165</v>
      </c>
      <c r="Q125" s="516"/>
    </row>
    <row r="126" spans="2:17" x14ac:dyDescent="0.25">
      <c r="B126" s="517"/>
      <c r="C126" s="551" t="s">
        <v>436</v>
      </c>
      <c r="D126" s="553"/>
      <c r="E126" s="553"/>
      <c r="F126" s="553"/>
      <c r="G126" s="553"/>
      <c r="H126" s="553"/>
      <c r="I126" s="555">
        <f t="shared" si="31"/>
        <v>20356.468204265177</v>
      </c>
      <c r="J126" s="556">
        <f t="shared" si="32"/>
        <v>21068.944591414456</v>
      </c>
      <c r="K126" s="556">
        <f t="shared" si="32"/>
        <v>21806.357652113962</v>
      </c>
      <c r="L126" s="556">
        <f t="shared" si="32"/>
        <v>22569.580169937952</v>
      </c>
      <c r="M126" s="556">
        <f t="shared" si="32"/>
        <v>23359.515475885779</v>
      </c>
      <c r="N126" s="556">
        <f t="shared" si="32"/>
        <v>24177.098517541781</v>
      </c>
      <c r="O126" s="556">
        <f t="shared" si="32"/>
        <v>25023.296965655743</v>
      </c>
      <c r="P126" s="557">
        <f t="shared" si="32"/>
        <v>25899.112359453695</v>
      </c>
      <c r="Q126" s="516"/>
    </row>
    <row r="127" spans="2:17" x14ac:dyDescent="0.25">
      <c r="B127" s="517"/>
      <c r="C127" s="551" t="s">
        <v>437</v>
      </c>
      <c r="D127" s="552"/>
      <c r="E127" s="553"/>
      <c r="F127" s="552"/>
      <c r="G127" s="552"/>
      <c r="H127" s="553"/>
      <c r="I127" s="555">
        <f t="shared" si="31"/>
        <v>8549.7166457913754</v>
      </c>
      <c r="J127" s="556">
        <f t="shared" si="32"/>
        <v>8848.9567283940742</v>
      </c>
      <c r="K127" s="556">
        <f t="shared" si="32"/>
        <v>9158.6702138878663</v>
      </c>
      <c r="L127" s="556">
        <f t="shared" si="32"/>
        <v>9479.2236713739421</v>
      </c>
      <c r="M127" s="556">
        <f t="shared" si="32"/>
        <v>9810.9964998720297</v>
      </c>
      <c r="N127" s="556">
        <f t="shared" si="32"/>
        <v>10154.38137736755</v>
      </c>
      <c r="O127" s="556">
        <f t="shared" si="32"/>
        <v>10509.784725575415</v>
      </c>
      <c r="P127" s="557">
        <f t="shared" si="32"/>
        <v>10877.627190970554</v>
      </c>
      <c r="Q127" s="516"/>
    </row>
    <row r="128" spans="2:17" x14ac:dyDescent="0.25">
      <c r="B128" s="517"/>
      <c r="C128" s="551" t="s">
        <v>438</v>
      </c>
      <c r="D128" s="553"/>
      <c r="E128" s="553"/>
      <c r="F128" s="553"/>
      <c r="G128" s="553"/>
      <c r="H128" s="553"/>
      <c r="I128" s="555">
        <f t="shared" si="31"/>
        <v>5089.1170510662942</v>
      </c>
      <c r="J128" s="556">
        <f t="shared" si="32"/>
        <v>5267.2361478536141</v>
      </c>
      <c r="K128" s="556">
        <f t="shared" si="32"/>
        <v>5451.5894130284905</v>
      </c>
      <c r="L128" s="556">
        <f t="shared" si="32"/>
        <v>5642.3950424844879</v>
      </c>
      <c r="M128" s="556">
        <f t="shared" si="32"/>
        <v>5839.8788689714447</v>
      </c>
      <c r="N128" s="556">
        <f t="shared" si="32"/>
        <v>6044.2746293854452</v>
      </c>
      <c r="O128" s="556">
        <f t="shared" si="32"/>
        <v>6255.8242414139359</v>
      </c>
      <c r="P128" s="557">
        <f t="shared" si="32"/>
        <v>6474.7780898634237</v>
      </c>
      <c r="Q128" s="516"/>
    </row>
    <row r="129" spans="2:17" x14ac:dyDescent="0.25">
      <c r="B129" s="517"/>
      <c r="C129" s="551" t="s">
        <v>439</v>
      </c>
      <c r="D129" s="553"/>
      <c r="E129" s="553"/>
      <c r="F129" s="553"/>
      <c r="G129" s="553"/>
      <c r="H129" s="553"/>
      <c r="I129" s="555">
        <f t="shared" si="31"/>
        <v>10178.234102132588</v>
      </c>
      <c r="J129" s="556">
        <f t="shared" si="32"/>
        <v>10534.472295707228</v>
      </c>
      <c r="K129" s="556">
        <f t="shared" si="32"/>
        <v>10903.178826056981</v>
      </c>
      <c r="L129" s="556">
        <f t="shared" si="32"/>
        <v>11284.790084968976</v>
      </c>
      <c r="M129" s="556">
        <f t="shared" si="32"/>
        <v>11679.757737942889</v>
      </c>
      <c r="N129" s="556">
        <f t="shared" si="32"/>
        <v>12088.54925877089</v>
      </c>
      <c r="O129" s="556">
        <f t="shared" si="32"/>
        <v>12511.648482827872</v>
      </c>
      <c r="P129" s="557">
        <f t="shared" si="32"/>
        <v>12949.556179726847</v>
      </c>
      <c r="Q129" s="516"/>
    </row>
    <row r="130" spans="2:17" x14ac:dyDescent="0.25">
      <c r="B130" s="517"/>
      <c r="C130" s="551" t="s">
        <v>440</v>
      </c>
      <c r="D130" s="553"/>
      <c r="E130" s="553"/>
      <c r="F130" s="553"/>
      <c r="G130" s="553"/>
      <c r="H130" s="553"/>
      <c r="I130" s="555">
        <f t="shared" si="31"/>
        <v>5089.1170510662942</v>
      </c>
      <c r="J130" s="556">
        <f t="shared" si="32"/>
        <v>5267.2361478536141</v>
      </c>
      <c r="K130" s="556">
        <f t="shared" si="32"/>
        <v>5451.5894130284905</v>
      </c>
      <c r="L130" s="556">
        <f t="shared" si="32"/>
        <v>5642.3950424844879</v>
      </c>
      <c r="M130" s="556">
        <f t="shared" si="32"/>
        <v>5839.8788689714447</v>
      </c>
      <c r="N130" s="556">
        <f t="shared" si="32"/>
        <v>6044.2746293854452</v>
      </c>
      <c r="O130" s="556">
        <f t="shared" si="32"/>
        <v>6255.8242414139359</v>
      </c>
      <c r="P130" s="557">
        <f t="shared" si="32"/>
        <v>6474.7780898634237</v>
      </c>
      <c r="Q130" s="516"/>
    </row>
    <row r="131" spans="2:17" x14ac:dyDescent="0.25">
      <c r="B131" s="517"/>
      <c r="C131" s="551" t="s">
        <v>441</v>
      </c>
      <c r="D131" s="553"/>
      <c r="E131" s="553"/>
      <c r="F131" s="553"/>
      <c r="G131" s="553"/>
      <c r="H131" s="553"/>
      <c r="I131" s="555">
        <f t="shared" si="31"/>
        <v>5394.4640741302719</v>
      </c>
      <c r="J131" s="556">
        <f t="shared" si="32"/>
        <v>5583.270316724831</v>
      </c>
      <c r="K131" s="556">
        <f t="shared" si="32"/>
        <v>5778.6847778102001</v>
      </c>
      <c r="L131" s="556">
        <f t="shared" si="32"/>
        <v>5980.9387450335571</v>
      </c>
      <c r="M131" s="556">
        <f t="shared" si="32"/>
        <v>6190.2716011097318</v>
      </c>
      <c r="N131" s="556">
        <f t="shared" si="32"/>
        <v>6406.9311071485727</v>
      </c>
      <c r="O131" s="556">
        <f t="shared" si="32"/>
        <v>6631.1736958987731</v>
      </c>
      <c r="P131" s="557">
        <f t="shared" si="32"/>
        <v>6863.2647752552302</v>
      </c>
      <c r="Q131" s="516"/>
    </row>
    <row r="132" spans="2:17" x14ac:dyDescent="0.25">
      <c r="B132" s="517"/>
      <c r="C132" s="551" t="s">
        <v>442</v>
      </c>
      <c r="D132" s="552"/>
      <c r="E132" s="553"/>
      <c r="F132" s="552"/>
      <c r="G132" s="552"/>
      <c r="H132" s="553"/>
      <c r="I132" s="555">
        <f t="shared" si="31"/>
        <v>66849.334385180671</v>
      </c>
      <c r="J132" s="556">
        <f t="shared" si="32"/>
        <v>69523.307760587893</v>
      </c>
      <c r="K132" s="556">
        <f t="shared" si="32"/>
        <v>72304.240071011416</v>
      </c>
      <c r="L132" s="556">
        <f t="shared" si="32"/>
        <v>75196.409673851871</v>
      </c>
      <c r="M132" s="556">
        <f t="shared" si="32"/>
        <v>78204.266060805952</v>
      </c>
      <c r="N132" s="556">
        <f t="shared" si="32"/>
        <v>81332.436703238185</v>
      </c>
      <c r="O132" s="556">
        <f t="shared" si="32"/>
        <v>84585.734171367716</v>
      </c>
      <c r="P132" s="557">
        <f t="shared" si="32"/>
        <v>87969.163538222419</v>
      </c>
      <c r="Q132" s="516"/>
    </row>
    <row r="133" spans="2:17" x14ac:dyDescent="0.25">
      <c r="B133" s="517"/>
      <c r="C133" s="551" t="s">
        <v>443</v>
      </c>
      <c r="D133" s="552"/>
      <c r="E133" s="553"/>
      <c r="F133" s="552"/>
      <c r="G133" s="552"/>
      <c r="H133" s="553"/>
      <c r="I133" s="555">
        <f t="shared" si="31"/>
        <v>14249.527742985625</v>
      </c>
      <c r="J133" s="556">
        <f t="shared" ref="J133:P137" si="33">I133+(I133*$F52)</f>
        <v>14748.261213990121</v>
      </c>
      <c r="K133" s="556">
        <f t="shared" si="33"/>
        <v>15264.450356479776</v>
      </c>
      <c r="L133" s="556">
        <f t="shared" si="33"/>
        <v>15798.706118956568</v>
      </c>
      <c r="M133" s="556">
        <f t="shared" si="33"/>
        <v>16351.660833120048</v>
      </c>
      <c r="N133" s="556">
        <f t="shared" si="33"/>
        <v>16923.96896227925</v>
      </c>
      <c r="O133" s="556">
        <f t="shared" si="33"/>
        <v>17516.307875959024</v>
      </c>
      <c r="P133" s="557">
        <f t="shared" si="33"/>
        <v>18129.37865161759</v>
      </c>
      <c r="Q133" s="516"/>
    </row>
    <row r="134" spans="2:17" x14ac:dyDescent="0.25">
      <c r="B134" s="517"/>
      <c r="C134" s="551" t="s">
        <v>444</v>
      </c>
      <c r="D134" s="552"/>
      <c r="E134" s="553"/>
      <c r="F134" s="552"/>
      <c r="G134" s="552"/>
      <c r="H134" s="553"/>
      <c r="I134" s="555">
        <f t="shared" si="31"/>
        <v>8142.5872817060708</v>
      </c>
      <c r="J134" s="556">
        <f t="shared" si="33"/>
        <v>8427.5778365657825</v>
      </c>
      <c r="K134" s="556">
        <f t="shared" si="33"/>
        <v>8722.5430608455845</v>
      </c>
      <c r="L134" s="556">
        <f t="shared" si="33"/>
        <v>9027.8320679751796</v>
      </c>
      <c r="M134" s="556">
        <f t="shared" si="33"/>
        <v>9343.8061903543112</v>
      </c>
      <c r="N134" s="556">
        <f t="shared" si="33"/>
        <v>9670.8394070167124</v>
      </c>
      <c r="O134" s="556">
        <f t="shared" si="33"/>
        <v>10009.318786262298</v>
      </c>
      <c r="P134" s="557">
        <f t="shared" si="33"/>
        <v>10359.644943781479</v>
      </c>
      <c r="Q134" s="516"/>
    </row>
    <row r="135" spans="2:17" x14ac:dyDescent="0.25">
      <c r="B135" s="517"/>
      <c r="C135" s="551" t="s">
        <v>445</v>
      </c>
      <c r="D135" s="553"/>
      <c r="E135" s="553"/>
      <c r="F135" s="553"/>
      <c r="G135" s="553"/>
      <c r="H135" s="553"/>
      <c r="I135" s="555">
        <f t="shared" si="31"/>
        <v>12722.792627665736</v>
      </c>
      <c r="J135" s="556">
        <f t="shared" si="33"/>
        <v>13168.090369634037</v>
      </c>
      <c r="K135" s="556">
        <f t="shared" si="33"/>
        <v>13628.973532571228</v>
      </c>
      <c r="L135" s="556">
        <f t="shared" si="33"/>
        <v>14105.987606211222</v>
      </c>
      <c r="M135" s="556">
        <f t="shared" si="33"/>
        <v>14599.697172428614</v>
      </c>
      <c r="N135" s="556">
        <f t="shared" si="33"/>
        <v>15110.686573463616</v>
      </c>
      <c r="O135" s="556">
        <f t="shared" si="33"/>
        <v>15639.560603534843</v>
      </c>
      <c r="P135" s="557">
        <f t="shared" si="33"/>
        <v>16186.945224658562</v>
      </c>
      <c r="Q135" s="516"/>
    </row>
    <row r="136" spans="2:17" x14ac:dyDescent="0.25">
      <c r="B136" s="517"/>
      <c r="C136" s="551" t="s">
        <v>446</v>
      </c>
      <c r="D136" s="553"/>
      <c r="E136" s="553"/>
      <c r="F136" s="553"/>
      <c r="G136" s="553"/>
      <c r="H136" s="553"/>
      <c r="I136" s="555">
        <f t="shared" si="31"/>
        <v>3444.0599643091155</v>
      </c>
      <c r="J136" s="556">
        <f t="shared" si="33"/>
        <v>3564.6020630599346</v>
      </c>
      <c r="K136" s="556">
        <f t="shared" si="33"/>
        <v>3689.3631352670322</v>
      </c>
      <c r="L136" s="556">
        <f t="shared" si="33"/>
        <v>3818.4908450013786</v>
      </c>
      <c r="M136" s="556">
        <f t="shared" si="33"/>
        <v>3952.1380245764267</v>
      </c>
      <c r="N136" s="556">
        <f t="shared" si="33"/>
        <v>4090.4628554366018</v>
      </c>
      <c r="O136" s="556">
        <f t="shared" si="33"/>
        <v>4233.6290553768831</v>
      </c>
      <c r="P136" s="557">
        <f t="shared" si="33"/>
        <v>4381.8060723150738</v>
      </c>
      <c r="Q136" s="516"/>
    </row>
    <row r="137" spans="2:17" x14ac:dyDescent="0.25">
      <c r="B137" s="517"/>
      <c r="C137" s="560" t="s">
        <v>247</v>
      </c>
      <c r="D137" s="561"/>
      <c r="E137" s="562"/>
      <c r="F137" s="584"/>
      <c r="G137" s="584"/>
      <c r="H137" s="562"/>
      <c r="I137" s="563">
        <f t="shared" si="31"/>
        <v>71358.327010788824</v>
      </c>
      <c r="J137" s="564">
        <f t="shared" si="33"/>
        <v>73855.868456166427</v>
      </c>
      <c r="K137" s="564">
        <f t="shared" si="33"/>
        <v>76440.823852132249</v>
      </c>
      <c r="L137" s="564">
        <f t="shared" si="33"/>
        <v>79116.252686956883</v>
      </c>
      <c r="M137" s="564">
        <f t="shared" si="33"/>
        <v>81885.321531000372</v>
      </c>
      <c r="N137" s="564">
        <f t="shared" si="33"/>
        <v>84751.307784585384</v>
      </c>
      <c r="O137" s="564">
        <f t="shared" si="33"/>
        <v>87717.603557045877</v>
      </c>
      <c r="P137" s="565">
        <f t="shared" si="33"/>
        <v>90787.719681542483</v>
      </c>
      <c r="Q137" s="516"/>
    </row>
    <row r="138" spans="2:17" x14ac:dyDescent="0.25">
      <c r="B138" s="517"/>
      <c r="C138" s="475" t="s">
        <v>447</v>
      </c>
      <c r="D138" s="532"/>
      <c r="E138" s="515"/>
      <c r="F138" s="533"/>
      <c r="G138" s="533"/>
      <c r="H138" s="515"/>
      <c r="I138" s="469">
        <f>SUM(I117:I137)</f>
        <v>501251.01665456308</v>
      </c>
      <c r="J138" s="470">
        <f t="shared" ref="J138:O138" si="34">SUM(J117:J137)</f>
        <v>518430.19678110193</v>
      </c>
      <c r="K138" s="470">
        <f t="shared" si="34"/>
        <v>536206.54677573952</v>
      </c>
      <c r="L138" s="470">
        <f t="shared" si="34"/>
        <v>554601.06559595384</v>
      </c>
      <c r="M138" s="470">
        <f t="shared" si="34"/>
        <v>573635.49763495743</v>
      </c>
      <c r="N138" s="470">
        <f t="shared" si="34"/>
        <v>593332.35939463053</v>
      </c>
      <c r="O138" s="470">
        <f t="shared" si="34"/>
        <v>613714.96711940796</v>
      </c>
      <c r="P138" s="507">
        <f>SUM(P117:P137)</f>
        <v>634807.46542595432</v>
      </c>
      <c r="Q138" s="516"/>
    </row>
    <row r="139" spans="2:17" ht="7.5" customHeight="1" x14ac:dyDescent="0.25">
      <c r="B139" s="517"/>
      <c r="C139" s="475"/>
      <c r="D139" s="532"/>
      <c r="E139" s="515"/>
      <c r="F139" s="533"/>
      <c r="G139" s="533"/>
      <c r="H139" s="515"/>
      <c r="I139" s="472"/>
      <c r="J139" s="473"/>
      <c r="K139" s="473"/>
      <c r="L139" s="473"/>
      <c r="M139" s="473"/>
      <c r="N139" s="473"/>
      <c r="O139" s="473"/>
      <c r="P139" s="474"/>
      <c r="Q139" s="516"/>
    </row>
    <row r="140" spans="2:17" x14ac:dyDescent="0.25">
      <c r="B140" s="517"/>
      <c r="C140" s="585" t="s">
        <v>448</v>
      </c>
      <c r="D140" s="532"/>
      <c r="E140" s="515"/>
      <c r="F140" s="532"/>
      <c r="G140" s="532"/>
      <c r="H140" s="515"/>
      <c r="I140" s="555">
        <f>P59+($F59*P59)</f>
        <v>35623.819357464068</v>
      </c>
      <c r="J140" s="556">
        <f t="shared" ref="J140:P141" si="35">I140+(I140*$F59)</f>
        <v>36870.653034975308</v>
      </c>
      <c r="K140" s="556">
        <f t="shared" si="35"/>
        <v>38161.125891199445</v>
      </c>
      <c r="L140" s="556">
        <f t="shared" si="35"/>
        <v>39496.765297391423</v>
      </c>
      <c r="M140" s="556">
        <f t="shared" si="35"/>
        <v>40879.152082800123</v>
      </c>
      <c r="N140" s="556">
        <f t="shared" si="35"/>
        <v>42309.922405698126</v>
      </c>
      <c r="O140" s="556">
        <f t="shared" si="35"/>
        <v>43790.769689897563</v>
      </c>
      <c r="P140" s="557">
        <f t="shared" si="35"/>
        <v>45323.446629043974</v>
      </c>
      <c r="Q140" s="516"/>
    </row>
    <row r="141" spans="2:17" x14ac:dyDescent="0.25">
      <c r="B141" s="517"/>
      <c r="C141" s="569" t="s">
        <v>449</v>
      </c>
      <c r="D141" s="561"/>
      <c r="E141" s="562"/>
      <c r="F141" s="561"/>
      <c r="G141" s="561"/>
      <c r="H141" s="562"/>
      <c r="I141" s="563">
        <f>P60+($F60*P60)</f>
        <v>0</v>
      </c>
      <c r="J141" s="564">
        <f t="shared" si="35"/>
        <v>0</v>
      </c>
      <c r="K141" s="564">
        <f t="shared" si="35"/>
        <v>0</v>
      </c>
      <c r="L141" s="564">
        <f t="shared" si="35"/>
        <v>0</v>
      </c>
      <c r="M141" s="564">
        <f t="shared" si="35"/>
        <v>0</v>
      </c>
      <c r="N141" s="564">
        <f t="shared" si="35"/>
        <v>0</v>
      </c>
      <c r="O141" s="564">
        <f t="shared" si="35"/>
        <v>0</v>
      </c>
      <c r="P141" s="565">
        <f t="shared" si="35"/>
        <v>0</v>
      </c>
      <c r="Q141" s="516"/>
    </row>
    <row r="142" spans="2:17" x14ac:dyDescent="0.25">
      <c r="B142" s="517"/>
      <c r="C142" s="475" t="s">
        <v>450</v>
      </c>
      <c r="D142" s="532"/>
      <c r="E142" s="532"/>
      <c r="F142" s="532"/>
      <c r="G142" s="532"/>
      <c r="H142" s="515"/>
      <c r="I142" s="469">
        <f>SUM(I140:I141)</f>
        <v>35623.819357464068</v>
      </c>
      <c r="J142" s="470">
        <f t="shared" ref="J142:P142" si="36">SUM(J140:J141)</f>
        <v>36870.653034975308</v>
      </c>
      <c r="K142" s="470">
        <f t="shared" si="36"/>
        <v>38161.125891199445</v>
      </c>
      <c r="L142" s="470">
        <f t="shared" si="36"/>
        <v>39496.765297391423</v>
      </c>
      <c r="M142" s="470">
        <f t="shared" si="36"/>
        <v>40879.152082800123</v>
      </c>
      <c r="N142" s="470">
        <f t="shared" si="36"/>
        <v>42309.922405698126</v>
      </c>
      <c r="O142" s="470">
        <f t="shared" si="36"/>
        <v>43790.769689897563</v>
      </c>
      <c r="P142" s="471">
        <f t="shared" si="36"/>
        <v>45323.446629043974</v>
      </c>
      <c r="Q142" s="516"/>
    </row>
    <row r="143" spans="2:17" ht="7.5" customHeight="1" x14ac:dyDescent="0.25">
      <c r="B143" s="517"/>
      <c r="C143" s="475"/>
      <c r="D143" s="532"/>
      <c r="E143" s="532"/>
      <c r="F143" s="532"/>
      <c r="G143" s="532"/>
      <c r="H143" s="515"/>
      <c r="I143" s="472"/>
      <c r="J143" s="473"/>
      <c r="K143" s="473"/>
      <c r="L143" s="473"/>
      <c r="M143" s="473"/>
      <c r="N143" s="473"/>
      <c r="O143" s="473"/>
      <c r="P143" s="474"/>
      <c r="Q143" s="516"/>
    </row>
    <row r="144" spans="2:17" x14ac:dyDescent="0.25">
      <c r="B144" s="517"/>
      <c r="C144" s="475" t="s">
        <v>451</v>
      </c>
      <c r="D144" s="532"/>
      <c r="E144" s="339"/>
      <c r="F144" s="532"/>
      <c r="G144" s="532"/>
      <c r="H144" s="515"/>
      <c r="I144" s="586">
        <f>P63+($F63*P63)</f>
        <v>0</v>
      </c>
      <c r="J144" s="587">
        <f t="shared" ref="J144:P144" si="37">I144+(I144*$F63)</f>
        <v>0</v>
      </c>
      <c r="K144" s="587">
        <f t="shared" si="37"/>
        <v>0</v>
      </c>
      <c r="L144" s="587">
        <f t="shared" si="37"/>
        <v>0</v>
      </c>
      <c r="M144" s="587">
        <f t="shared" si="37"/>
        <v>0</v>
      </c>
      <c r="N144" s="587">
        <f t="shared" si="37"/>
        <v>0</v>
      </c>
      <c r="O144" s="587">
        <f t="shared" si="37"/>
        <v>0</v>
      </c>
      <c r="P144" s="588">
        <f t="shared" si="37"/>
        <v>0</v>
      </c>
      <c r="Q144" s="516"/>
    </row>
    <row r="145" spans="2:17" ht="7.5" customHeight="1" x14ac:dyDescent="0.25">
      <c r="B145" s="517"/>
      <c r="C145" s="475"/>
      <c r="D145" s="532"/>
      <c r="E145" s="339"/>
      <c r="F145" s="532"/>
      <c r="G145" s="532"/>
      <c r="H145" s="515"/>
      <c r="I145" s="472"/>
      <c r="J145" s="473"/>
      <c r="K145" s="473"/>
      <c r="L145" s="473"/>
      <c r="M145" s="473"/>
      <c r="N145" s="473"/>
      <c r="O145" s="473"/>
      <c r="P145" s="474"/>
      <c r="Q145" s="516"/>
    </row>
    <row r="146" spans="2:17" ht="15.75" thickBot="1" x14ac:dyDescent="0.3">
      <c r="B146" s="517"/>
      <c r="C146" s="573" t="s">
        <v>452</v>
      </c>
      <c r="D146" s="535"/>
      <c r="E146" s="535"/>
      <c r="F146" s="535"/>
      <c r="G146" s="535"/>
      <c r="H146" s="535"/>
      <c r="I146" s="1675">
        <f>P65+($F65*P65)</f>
        <v>0</v>
      </c>
      <c r="J146" s="1676">
        <f t="shared" ref="J146:P146" si="38">I146+(I146*$F65)</f>
        <v>0</v>
      </c>
      <c r="K146" s="1676">
        <f t="shared" si="38"/>
        <v>0</v>
      </c>
      <c r="L146" s="1676">
        <f t="shared" si="38"/>
        <v>0</v>
      </c>
      <c r="M146" s="1676">
        <f t="shared" si="38"/>
        <v>0</v>
      </c>
      <c r="N146" s="1676">
        <f t="shared" si="38"/>
        <v>0</v>
      </c>
      <c r="O146" s="1676">
        <f t="shared" si="38"/>
        <v>0</v>
      </c>
      <c r="P146" s="1677">
        <f t="shared" si="38"/>
        <v>0</v>
      </c>
      <c r="Q146" s="516"/>
    </row>
    <row r="147" spans="2:17" ht="16.5" thickTop="1" thickBot="1" x14ac:dyDescent="0.3">
      <c r="B147" s="517"/>
      <c r="C147" s="540" t="s">
        <v>453</v>
      </c>
      <c r="D147" s="532"/>
      <c r="E147" s="515"/>
      <c r="F147" s="532"/>
      <c r="G147" s="532"/>
      <c r="H147" s="575"/>
      <c r="I147" s="476">
        <f>I138+I142+I144+I146</f>
        <v>536874.83601202711</v>
      </c>
      <c r="J147" s="477">
        <f t="shared" ref="J147:P147" si="39">J138+J142+J144+J146</f>
        <v>555300.84981607727</v>
      </c>
      <c r="K147" s="477">
        <f t="shared" si="39"/>
        <v>574367.67266693898</v>
      </c>
      <c r="L147" s="477">
        <f t="shared" si="39"/>
        <v>594097.83089334529</v>
      </c>
      <c r="M147" s="477">
        <f t="shared" si="39"/>
        <v>614514.64971775759</v>
      </c>
      <c r="N147" s="477">
        <f t="shared" si="39"/>
        <v>635642.28180032864</v>
      </c>
      <c r="O147" s="477">
        <f t="shared" si="39"/>
        <v>657505.7368093055</v>
      </c>
      <c r="P147" s="478">
        <f t="shared" si="39"/>
        <v>680130.91205499833</v>
      </c>
      <c r="Q147" s="516"/>
    </row>
    <row r="148" spans="2:17" ht="7.5" customHeight="1" thickBot="1" x14ac:dyDescent="0.3">
      <c r="B148" s="517"/>
      <c r="C148" s="532"/>
      <c r="D148" s="532"/>
      <c r="E148" s="532"/>
      <c r="F148" s="532"/>
      <c r="G148" s="532"/>
      <c r="H148" s="532"/>
      <c r="I148" s="576"/>
      <c r="J148" s="576"/>
      <c r="K148" s="576"/>
      <c r="L148" s="576"/>
      <c r="M148" s="576"/>
      <c r="N148" s="576"/>
      <c r="O148" s="576"/>
      <c r="P148" s="576"/>
      <c r="Q148" s="516"/>
    </row>
    <row r="149" spans="2:17" ht="15.75" thickBot="1" x14ac:dyDescent="0.3">
      <c r="B149" s="517"/>
      <c r="C149" s="540" t="s">
        <v>454</v>
      </c>
      <c r="D149" s="532"/>
      <c r="E149" s="532"/>
      <c r="F149" s="532"/>
      <c r="G149" s="532"/>
      <c r="H149" s="532"/>
      <c r="I149" s="479">
        <f>I113-I147</f>
        <v>623502.63249074214</v>
      </c>
      <c r="J149" s="480">
        <f>J113-J147</f>
        <v>633414.16789926111</v>
      </c>
      <c r="K149" s="480">
        <f t="shared" ref="K149:P149" si="40">K113-K147</f>
        <v>643393.33299128292</v>
      </c>
      <c r="L149" s="480">
        <f t="shared" si="40"/>
        <v>653435.31240633212</v>
      </c>
      <c r="M149" s="480">
        <f t="shared" si="40"/>
        <v>663534.93466441159</v>
      </c>
      <c r="N149" s="480">
        <f t="shared" si="40"/>
        <v>673686.65469139477</v>
      </c>
      <c r="O149" s="480">
        <f t="shared" si="40"/>
        <v>683884.53559471096</v>
      </c>
      <c r="P149" s="481">
        <f t="shared" si="40"/>
        <v>694122.22965911846</v>
      </c>
      <c r="Q149" s="516"/>
    </row>
    <row r="150" spans="2:17" x14ac:dyDescent="0.25">
      <c r="B150" s="394"/>
      <c r="C150" s="354"/>
      <c r="D150" s="354"/>
      <c r="E150" s="354"/>
      <c r="F150" s="354"/>
      <c r="G150" s="354"/>
      <c r="H150" s="354"/>
      <c r="I150" s="354"/>
      <c r="J150" s="354"/>
      <c r="K150" s="354"/>
      <c r="L150" s="354"/>
      <c r="M150" s="354"/>
      <c r="N150" s="354"/>
      <c r="O150" s="354"/>
      <c r="P150" s="354"/>
      <c r="Q150" s="355"/>
    </row>
    <row r="151" spans="2:17" ht="15.75" thickBot="1" x14ac:dyDescent="0.3">
      <c r="B151" s="394"/>
      <c r="C151" s="2473" t="s">
        <v>455</v>
      </c>
      <c r="D151" s="2473"/>
      <c r="E151" s="2473"/>
      <c r="F151" s="482"/>
      <c r="G151" s="482"/>
      <c r="H151" s="482"/>
      <c r="I151" s="482"/>
      <c r="J151" s="482"/>
      <c r="K151" s="482"/>
      <c r="L151" s="482"/>
      <c r="M151" s="1351"/>
      <c r="N151" s="1351"/>
      <c r="O151" s="1351"/>
      <c r="P151" s="1351"/>
      <c r="Q151" s="355"/>
    </row>
    <row r="152" spans="2:17" ht="15.75" thickBot="1" x14ac:dyDescent="0.3">
      <c r="B152" s="394"/>
      <c r="C152" s="589" t="s">
        <v>456</v>
      </c>
      <c r="D152" s="524"/>
      <c r="E152" s="1208"/>
      <c r="F152" s="1208"/>
      <c r="G152" s="1208"/>
      <c r="H152" s="1208"/>
      <c r="I152" s="446" t="s">
        <v>468</v>
      </c>
      <c r="J152" s="508" t="s">
        <v>469</v>
      </c>
      <c r="K152" s="509" t="s">
        <v>470</v>
      </c>
      <c r="L152" s="509" t="s">
        <v>471</v>
      </c>
      <c r="M152" s="509" t="s">
        <v>472</v>
      </c>
      <c r="N152" s="509" t="s">
        <v>473</v>
      </c>
      <c r="O152" s="509" t="s">
        <v>474</v>
      </c>
      <c r="P152" s="510" t="s">
        <v>475</v>
      </c>
      <c r="Q152" s="355"/>
    </row>
    <row r="153" spans="2:17" x14ac:dyDescent="0.25">
      <c r="B153" s="394"/>
      <c r="C153" s="2513" t="str">
        <f>IF(C72="Lender 1","",C72)</f>
        <v>Lender 1 - 4% Bonds</v>
      </c>
      <c r="D153" s="2502"/>
      <c r="E153" s="2502"/>
      <c r="F153" s="2502"/>
      <c r="G153" s="2502"/>
      <c r="H153" s="2503"/>
      <c r="I153" s="1678">
        <f>P72</f>
        <v>459280</v>
      </c>
      <c r="J153" s="1699">
        <f>I153</f>
        <v>459280</v>
      </c>
      <c r="K153" s="1699">
        <f t="shared" ref="K153:P153" si="41">J153</f>
        <v>459280</v>
      </c>
      <c r="L153" s="1699">
        <f t="shared" si="41"/>
        <v>459280</v>
      </c>
      <c r="M153" s="1699">
        <f t="shared" si="41"/>
        <v>459280</v>
      </c>
      <c r="N153" s="1699">
        <f t="shared" si="41"/>
        <v>459280</v>
      </c>
      <c r="O153" s="1699">
        <f t="shared" si="41"/>
        <v>459280</v>
      </c>
      <c r="P153" s="1700">
        <f t="shared" si="41"/>
        <v>459280</v>
      </c>
      <c r="Q153" s="355"/>
    </row>
    <row r="154" spans="2:17" x14ac:dyDescent="0.25">
      <c r="B154" s="394"/>
      <c r="C154" s="2498">
        <f>IF(C73="Lender 2","",C73)</f>
        <v>0</v>
      </c>
      <c r="D154" s="2499"/>
      <c r="E154" s="2499"/>
      <c r="F154" s="2499"/>
      <c r="G154" s="2499"/>
      <c r="H154" s="2500"/>
      <c r="I154" s="1681">
        <v>0</v>
      </c>
      <c r="J154" s="1701">
        <v>0</v>
      </c>
      <c r="K154" s="1701">
        <v>0</v>
      </c>
      <c r="L154" s="1701">
        <v>0</v>
      </c>
      <c r="M154" s="1701">
        <v>0</v>
      </c>
      <c r="N154" s="1701">
        <v>0</v>
      </c>
      <c r="O154" s="1701">
        <v>0</v>
      </c>
      <c r="P154" s="1702">
        <v>0</v>
      </c>
      <c r="Q154" s="355"/>
    </row>
    <row r="155" spans="2:17" ht="15.75" thickBot="1" x14ac:dyDescent="0.3">
      <c r="B155" s="394"/>
      <c r="C155" s="2495" t="s">
        <v>460</v>
      </c>
      <c r="D155" s="2511"/>
      <c r="E155" s="2511"/>
      <c r="F155" s="2511"/>
      <c r="G155" s="2511"/>
      <c r="H155" s="2512"/>
      <c r="I155" s="1684">
        <v>0</v>
      </c>
      <c r="J155" s="1703">
        <v>0</v>
      </c>
      <c r="K155" s="1703">
        <v>0</v>
      </c>
      <c r="L155" s="1703">
        <v>0</v>
      </c>
      <c r="M155" s="1703">
        <v>0</v>
      </c>
      <c r="N155" s="1703">
        <v>0</v>
      </c>
      <c r="O155" s="1703">
        <v>0</v>
      </c>
      <c r="P155" s="1704">
        <v>0</v>
      </c>
      <c r="Q155" s="355"/>
    </row>
    <row r="156" spans="2:17" ht="15.75" thickTop="1" x14ac:dyDescent="0.25">
      <c r="B156" s="394"/>
      <c r="C156" s="1208"/>
      <c r="D156" s="1208"/>
      <c r="E156" s="1352"/>
      <c r="F156" s="1353"/>
      <c r="G156" s="1353"/>
      <c r="H156" s="1354" t="s">
        <v>461</v>
      </c>
      <c r="I156" s="483">
        <f>SUM(I153:I155)</f>
        <v>459280</v>
      </c>
      <c r="J156" s="484">
        <f t="shared" ref="J156:P156" si="42">SUM(J153:J155)</f>
        <v>459280</v>
      </c>
      <c r="K156" s="484">
        <f t="shared" si="42"/>
        <v>459280</v>
      </c>
      <c r="L156" s="484">
        <f t="shared" si="42"/>
        <v>459280</v>
      </c>
      <c r="M156" s="484">
        <f t="shared" si="42"/>
        <v>459280</v>
      </c>
      <c r="N156" s="484">
        <f t="shared" si="42"/>
        <v>459280</v>
      </c>
      <c r="O156" s="484">
        <f t="shared" si="42"/>
        <v>459280</v>
      </c>
      <c r="P156" s="485">
        <f t="shared" si="42"/>
        <v>459280</v>
      </c>
      <c r="Q156" s="355"/>
    </row>
    <row r="157" spans="2:17" x14ac:dyDescent="0.25">
      <c r="B157" s="394"/>
      <c r="C157" s="1208"/>
      <c r="D157" s="1208"/>
      <c r="E157" s="1208"/>
      <c r="F157" s="793"/>
      <c r="G157" s="793"/>
      <c r="H157" s="793" t="s">
        <v>462</v>
      </c>
      <c r="I157" s="2071">
        <f>IFERROR(I149/I156,"$0 ")</f>
        <v>1.3575653903735023</v>
      </c>
      <c r="J157" s="2072">
        <f t="shared" ref="J157:O157" si="43">IFERROR(J149/J156,"$0 ")</f>
        <v>1.3791459848006904</v>
      </c>
      <c r="K157" s="2072">
        <f t="shared" si="43"/>
        <v>1.40087383075963</v>
      </c>
      <c r="L157" s="2072">
        <f t="shared" si="43"/>
        <v>1.422738443664719</v>
      </c>
      <c r="M157" s="2072">
        <f t="shared" si="43"/>
        <v>1.4447285635438329</v>
      </c>
      <c r="N157" s="2072">
        <f t="shared" si="43"/>
        <v>1.4668321169904954</v>
      </c>
      <c r="O157" s="2072">
        <f t="shared" si="43"/>
        <v>1.489036177483694</v>
      </c>
      <c r="P157" s="2076">
        <f>IFERROR(P149/P156,"$0 ")</f>
        <v>1.5113269240095768</v>
      </c>
      <c r="Q157" s="355"/>
    </row>
    <row r="158" spans="2:17" ht="15.75" thickBot="1" x14ac:dyDescent="0.3">
      <c r="B158" s="394"/>
      <c r="C158" s="1208"/>
      <c r="D158" s="1208"/>
      <c r="E158" s="2491" t="s">
        <v>463</v>
      </c>
      <c r="F158" s="2491"/>
      <c r="G158" s="2491"/>
      <c r="H158" s="2492"/>
      <c r="I158" s="486">
        <f>I149-I156</f>
        <v>164222.63249074214</v>
      </c>
      <c r="J158" s="487">
        <f t="shared" ref="J158:P158" si="44">J149-J156</f>
        <v>174134.16789926111</v>
      </c>
      <c r="K158" s="487">
        <f t="shared" si="44"/>
        <v>184113.33299128292</v>
      </c>
      <c r="L158" s="487">
        <f t="shared" si="44"/>
        <v>194155.31240633212</v>
      </c>
      <c r="M158" s="487">
        <f t="shared" si="44"/>
        <v>204254.93466441159</v>
      </c>
      <c r="N158" s="487">
        <f t="shared" si="44"/>
        <v>214406.65469139477</v>
      </c>
      <c r="O158" s="487">
        <f t="shared" si="44"/>
        <v>224604.53559471096</v>
      </c>
      <c r="P158" s="488">
        <f t="shared" si="44"/>
        <v>234842.22965911846</v>
      </c>
      <c r="Q158" s="355"/>
    </row>
    <row r="159" spans="2:17" ht="15.75" thickBot="1" x14ac:dyDescent="0.3">
      <c r="B159" s="394"/>
      <c r="C159" s="1208"/>
      <c r="D159" s="1208"/>
      <c r="E159" s="1208"/>
      <c r="F159" s="1208"/>
      <c r="G159" s="1208"/>
      <c r="H159" s="1208"/>
      <c r="I159" s="1208"/>
      <c r="J159" s="1208"/>
      <c r="K159" s="1208"/>
      <c r="L159" s="1208"/>
      <c r="M159" s="1208"/>
      <c r="N159" s="1208"/>
      <c r="O159" s="1208"/>
      <c r="P159" s="1208"/>
      <c r="Q159" s="355"/>
    </row>
    <row r="160" spans="2:17" ht="15.75" thickBot="1" x14ac:dyDescent="0.3">
      <c r="B160" s="394"/>
      <c r="C160" s="589" t="s">
        <v>464</v>
      </c>
      <c r="D160" s="1208"/>
      <c r="E160" s="1208"/>
      <c r="F160" s="1208"/>
      <c r="G160" s="1208"/>
      <c r="H160" s="1208"/>
      <c r="I160" s="446" t="s">
        <v>468</v>
      </c>
      <c r="J160" s="508" t="s">
        <v>469</v>
      </c>
      <c r="K160" s="509" t="s">
        <v>470</v>
      </c>
      <c r="L160" s="509" t="s">
        <v>471</v>
      </c>
      <c r="M160" s="509" t="s">
        <v>472</v>
      </c>
      <c r="N160" s="509" t="s">
        <v>473</v>
      </c>
      <c r="O160" s="509" t="s">
        <v>474</v>
      </c>
      <c r="P160" s="510" t="s">
        <v>475</v>
      </c>
      <c r="Q160" s="355"/>
    </row>
    <row r="161" spans="2:17" x14ac:dyDescent="0.25">
      <c r="B161" s="394"/>
      <c r="C161" s="2514">
        <f>IF(C80="Lender 4","",C80)</f>
        <v>0</v>
      </c>
      <c r="D161" s="2515"/>
      <c r="E161" s="2515"/>
      <c r="F161" s="2515"/>
      <c r="G161" s="2515"/>
      <c r="H161" s="2516"/>
      <c r="I161" s="1705">
        <v>0</v>
      </c>
      <c r="J161" s="1706">
        <v>0</v>
      </c>
      <c r="K161" s="1706">
        <v>0</v>
      </c>
      <c r="L161" s="1706">
        <v>0</v>
      </c>
      <c r="M161" s="1706">
        <v>0</v>
      </c>
      <c r="N161" s="1706">
        <v>0</v>
      </c>
      <c r="O161" s="1706">
        <v>0</v>
      </c>
      <c r="P161" s="1707">
        <v>0</v>
      </c>
      <c r="Q161" s="355"/>
    </row>
    <row r="162" spans="2:17" x14ac:dyDescent="0.25">
      <c r="B162" s="394"/>
      <c r="C162" s="2508">
        <f>IF(C81="Lender 5","",C81)</f>
        <v>0</v>
      </c>
      <c r="D162" s="2509"/>
      <c r="E162" s="2509"/>
      <c r="F162" s="2509"/>
      <c r="G162" s="2509"/>
      <c r="H162" s="2510"/>
      <c r="I162" s="1708">
        <v>0</v>
      </c>
      <c r="J162" s="1709">
        <v>0</v>
      </c>
      <c r="K162" s="1709">
        <v>0</v>
      </c>
      <c r="L162" s="1709">
        <v>0</v>
      </c>
      <c r="M162" s="1709">
        <v>0</v>
      </c>
      <c r="N162" s="1709">
        <v>0</v>
      </c>
      <c r="O162" s="1709">
        <v>0</v>
      </c>
      <c r="P162" s="1710">
        <v>0</v>
      </c>
      <c r="Q162" s="355"/>
    </row>
    <row r="163" spans="2:17" x14ac:dyDescent="0.25">
      <c r="B163" s="394"/>
      <c r="C163" s="2508">
        <f>IF(C82="Lender 6","",C82)</f>
        <v>0</v>
      </c>
      <c r="D163" s="2509"/>
      <c r="E163" s="2509"/>
      <c r="F163" s="2509"/>
      <c r="G163" s="2509"/>
      <c r="H163" s="2510"/>
      <c r="I163" s="1708">
        <v>0</v>
      </c>
      <c r="J163" s="1709">
        <v>0</v>
      </c>
      <c r="K163" s="1709">
        <v>0</v>
      </c>
      <c r="L163" s="1709">
        <v>0</v>
      </c>
      <c r="M163" s="1709">
        <v>0</v>
      </c>
      <c r="N163" s="1709">
        <v>0</v>
      </c>
      <c r="O163" s="1709">
        <v>0</v>
      </c>
      <c r="P163" s="1710">
        <v>0</v>
      </c>
      <c r="Q163" s="355"/>
    </row>
    <row r="164" spans="2:17" ht="15.75" thickBot="1" x14ac:dyDescent="0.3">
      <c r="B164" s="394"/>
      <c r="C164" s="2495" t="s">
        <v>460</v>
      </c>
      <c r="D164" s="2511"/>
      <c r="E164" s="2511"/>
      <c r="F164" s="2511"/>
      <c r="G164" s="2511"/>
      <c r="H164" s="2512"/>
      <c r="I164" s="1711">
        <v>0</v>
      </c>
      <c r="J164" s="1712">
        <v>0</v>
      </c>
      <c r="K164" s="1712">
        <v>0</v>
      </c>
      <c r="L164" s="1712">
        <v>0</v>
      </c>
      <c r="M164" s="1712">
        <v>0</v>
      </c>
      <c r="N164" s="1712">
        <v>0</v>
      </c>
      <c r="O164" s="1712">
        <v>0</v>
      </c>
      <c r="P164" s="1713">
        <v>0</v>
      </c>
      <c r="Q164" s="355"/>
    </row>
    <row r="165" spans="2:17" ht="16.5" thickTop="1" thickBot="1" x14ac:dyDescent="0.3">
      <c r="B165" s="394"/>
      <c r="C165" s="1366"/>
      <c r="D165" s="590"/>
      <c r="E165" s="2491" t="s">
        <v>465</v>
      </c>
      <c r="F165" s="2504"/>
      <c r="G165" s="2504"/>
      <c r="H165" s="2505"/>
      <c r="I165" s="489">
        <f>SUM(I161:I164)</f>
        <v>0</v>
      </c>
      <c r="J165" s="490">
        <f t="shared" ref="J165:P165" si="45">SUM(J161:J164)</f>
        <v>0</v>
      </c>
      <c r="K165" s="490">
        <f t="shared" si="45"/>
        <v>0</v>
      </c>
      <c r="L165" s="490">
        <f t="shared" si="45"/>
        <v>0</v>
      </c>
      <c r="M165" s="490">
        <f t="shared" si="45"/>
        <v>0</v>
      </c>
      <c r="N165" s="490">
        <f t="shared" si="45"/>
        <v>0</v>
      </c>
      <c r="O165" s="490">
        <f t="shared" si="45"/>
        <v>0</v>
      </c>
      <c r="P165" s="491">
        <f t="shared" si="45"/>
        <v>0</v>
      </c>
      <c r="Q165" s="355"/>
    </row>
    <row r="166" spans="2:17" ht="7.5" customHeight="1" thickBot="1" x14ac:dyDescent="0.3">
      <c r="B166" s="394"/>
      <c r="C166" s="354"/>
      <c r="D166" s="793"/>
      <c r="E166" s="1208"/>
      <c r="F166" s="1208"/>
      <c r="G166" s="1208"/>
      <c r="H166" s="1208"/>
      <c r="I166" s="1208"/>
      <c r="J166" s="1208"/>
      <c r="K166" s="1208"/>
      <c r="L166" s="1208"/>
      <c r="M166" s="1208"/>
      <c r="N166" s="1208"/>
      <c r="O166" s="1208"/>
      <c r="P166" s="1208"/>
      <c r="Q166" s="355"/>
    </row>
    <row r="167" spans="2:17" x14ac:dyDescent="0.25">
      <c r="B167" s="394"/>
      <c r="C167" s="354"/>
      <c r="D167" s="793"/>
      <c r="E167" s="2491" t="s">
        <v>466</v>
      </c>
      <c r="F167" s="2491"/>
      <c r="G167" s="2491"/>
      <c r="H167" s="2492"/>
      <c r="I167" s="2073">
        <f>IFERROR(I149/(I156+I165),"$0 ")</f>
        <v>1.3575653903735023</v>
      </c>
      <c r="J167" s="2074">
        <f t="shared" ref="J167:P167" si="46">IFERROR(J149/(J156+J165),"$0 ")</f>
        <v>1.3791459848006904</v>
      </c>
      <c r="K167" s="2074">
        <f t="shared" si="46"/>
        <v>1.40087383075963</v>
      </c>
      <c r="L167" s="2074">
        <f t="shared" si="46"/>
        <v>1.422738443664719</v>
      </c>
      <c r="M167" s="2074">
        <f t="shared" si="46"/>
        <v>1.4447285635438329</v>
      </c>
      <c r="N167" s="2074">
        <f t="shared" si="46"/>
        <v>1.4668321169904954</v>
      </c>
      <c r="O167" s="2074">
        <f t="shared" si="46"/>
        <v>1.489036177483694</v>
      </c>
      <c r="P167" s="2075">
        <f t="shared" si="46"/>
        <v>1.5113269240095768</v>
      </c>
      <c r="Q167" s="355"/>
    </row>
    <row r="168" spans="2:17" ht="15.75" thickBot="1" x14ac:dyDescent="0.3">
      <c r="B168" s="394"/>
      <c r="C168" s="811"/>
      <c r="D168" s="793"/>
      <c r="E168" s="2491" t="s">
        <v>467</v>
      </c>
      <c r="F168" s="2493"/>
      <c r="G168" s="2493"/>
      <c r="H168" s="2494"/>
      <c r="I168" s="1356">
        <f>I158-I165</f>
        <v>164222.63249074214</v>
      </c>
      <c r="J168" s="1358">
        <f t="shared" ref="J168:O168" si="47">J158-J165</f>
        <v>174134.16789926111</v>
      </c>
      <c r="K168" s="1358">
        <f t="shared" si="47"/>
        <v>184113.33299128292</v>
      </c>
      <c r="L168" s="1358">
        <f t="shared" si="47"/>
        <v>194155.31240633212</v>
      </c>
      <c r="M168" s="1358">
        <f t="shared" si="47"/>
        <v>204254.93466441159</v>
      </c>
      <c r="N168" s="1358">
        <f t="shared" si="47"/>
        <v>214406.65469139477</v>
      </c>
      <c r="O168" s="1358">
        <f t="shared" si="47"/>
        <v>224604.53559471096</v>
      </c>
      <c r="P168" s="1359">
        <f>P158-P165</f>
        <v>234842.22965911846</v>
      </c>
      <c r="Q168" s="355"/>
    </row>
    <row r="169" spans="2:17" ht="9" customHeight="1" thickBot="1" x14ac:dyDescent="0.3">
      <c r="B169" s="1367"/>
      <c r="C169" s="698"/>
      <c r="D169" s="698"/>
      <c r="E169" s="698"/>
      <c r="F169" s="698"/>
      <c r="G169" s="698"/>
      <c r="H169" s="698"/>
      <c r="I169" s="698"/>
      <c r="J169" s="698"/>
      <c r="K169" s="698"/>
      <c r="L169" s="698"/>
      <c r="M169" s="698"/>
      <c r="N169" s="698"/>
      <c r="O169" s="698"/>
      <c r="P169" s="698"/>
      <c r="Q169" s="1368"/>
    </row>
  </sheetData>
  <sheetProtection password="9F6B" sheet="1" objects="1" scenarios="1" formatCells="0" formatColumns="0" formatRows="0"/>
  <mergeCells count="39">
    <mergeCell ref="E165:H165"/>
    <mergeCell ref="C81:G81"/>
    <mergeCell ref="H81:I81"/>
    <mergeCell ref="C82:G82"/>
    <mergeCell ref="H82:I82"/>
    <mergeCell ref="C83:G83"/>
    <mergeCell ref="H83:I83"/>
    <mergeCell ref="E167:H167"/>
    <mergeCell ref="E168:H168"/>
    <mergeCell ref="C162:H162"/>
    <mergeCell ref="F84:I84"/>
    <mergeCell ref="F86:I86"/>
    <mergeCell ref="F87:I87"/>
    <mergeCell ref="D102:F102"/>
    <mergeCell ref="D103:F103"/>
    <mergeCell ref="C151:E151"/>
    <mergeCell ref="C153:H153"/>
    <mergeCell ref="C154:H154"/>
    <mergeCell ref="C155:H155"/>
    <mergeCell ref="E158:H158"/>
    <mergeCell ref="C161:H161"/>
    <mergeCell ref="C163:H163"/>
    <mergeCell ref="C164:H164"/>
    <mergeCell ref="C9:P9"/>
    <mergeCell ref="C90:P90"/>
    <mergeCell ref="H80:I80"/>
    <mergeCell ref="C70:E70"/>
    <mergeCell ref="H71:I71"/>
    <mergeCell ref="C72:G72"/>
    <mergeCell ref="H72:I72"/>
    <mergeCell ref="C73:G73"/>
    <mergeCell ref="H73:I73"/>
    <mergeCell ref="D21:F21"/>
    <mergeCell ref="D22:F22"/>
    <mergeCell ref="C74:G74"/>
    <mergeCell ref="H74:I74"/>
    <mergeCell ref="F77:I77"/>
    <mergeCell ref="H79:I79"/>
    <mergeCell ref="C80:G80"/>
  </mergeCells>
  <pageMargins left="0.7" right="0.7" top="0.75" bottom="0.75" header="0.3" footer="0.3"/>
  <pageSetup paperSize="17" scale="90" fitToHeight="2" orientation="portrait" r:id="rId1"/>
  <headerFooter>
    <oddFooter>&amp;LForm 8E(2)(a)
Operating Pro Forma (Alternate without Subsidy)&amp;CCFA Forms&amp;REdition: 2015
Version: 1.1</oddFooter>
  </headerFooter>
  <rowBreaks count="1" manualBreakCount="1">
    <brk id="88" min="1" max="16"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7:Q169"/>
  <sheetViews>
    <sheetView showGridLines="0" topLeftCell="B1" zoomScaleNormal="100" workbookViewId="0">
      <selection activeCell="P155" sqref="P155"/>
    </sheetView>
  </sheetViews>
  <sheetFormatPr defaultRowHeight="15" x14ac:dyDescent="0.25"/>
  <cols>
    <col min="1" max="2" width="1.7109375" style="839" customWidth="1"/>
    <col min="3" max="3" width="14.28515625" style="839" customWidth="1"/>
    <col min="4" max="4" width="9.140625" style="839" customWidth="1"/>
    <col min="5" max="6" width="9.140625" style="839"/>
    <col min="7" max="7" width="1.42578125" style="839" customWidth="1"/>
    <col min="8" max="16" width="9.140625" style="839"/>
    <col min="17" max="17" width="1.7109375" style="839" customWidth="1"/>
    <col min="18" max="16384" width="9.140625" style="839"/>
  </cols>
  <sheetData>
    <row r="7" spans="2:17" ht="15.75" thickBot="1" x14ac:dyDescent="0.3"/>
    <row r="8" spans="2:17" ht="9" customHeight="1" x14ac:dyDescent="0.25">
      <c r="B8" s="511"/>
      <c r="C8" s="512"/>
      <c r="D8" s="512"/>
      <c r="E8" s="512"/>
      <c r="F8" s="512"/>
      <c r="G8" s="512"/>
      <c r="H8" s="512"/>
      <c r="I8" s="512"/>
      <c r="J8" s="512"/>
      <c r="K8" s="512"/>
      <c r="L8" s="512"/>
      <c r="M8" s="512"/>
      <c r="N8" s="512"/>
      <c r="O8" s="512"/>
      <c r="P8" s="512"/>
      <c r="Q8" s="513"/>
    </row>
    <row r="9" spans="2:17" ht="18.75" x14ac:dyDescent="0.3">
      <c r="B9" s="514"/>
      <c r="C9" s="2387" t="s">
        <v>1389</v>
      </c>
      <c r="D9" s="2387"/>
      <c r="E9" s="2387"/>
      <c r="F9" s="2387"/>
      <c r="G9" s="2387"/>
      <c r="H9" s="2387"/>
      <c r="I9" s="2387"/>
      <c r="J9" s="2387"/>
      <c r="K9" s="2387"/>
      <c r="L9" s="2387"/>
      <c r="M9" s="2387"/>
      <c r="N9" s="2387"/>
      <c r="O9" s="2387"/>
      <c r="P9" s="2387"/>
      <c r="Q9" s="516"/>
    </row>
    <row r="10" spans="2:17" x14ac:dyDescent="0.25">
      <c r="B10" s="514"/>
      <c r="C10" s="515"/>
      <c r="D10" s="515"/>
      <c r="E10" s="515"/>
      <c r="F10" s="515"/>
      <c r="G10" s="515"/>
      <c r="H10" s="515"/>
      <c r="I10" s="515"/>
      <c r="J10" s="515"/>
      <c r="K10" s="515"/>
      <c r="L10" s="515"/>
      <c r="M10" s="515"/>
      <c r="N10" s="515"/>
      <c r="O10" s="515"/>
      <c r="P10" s="515"/>
      <c r="Q10" s="516"/>
    </row>
    <row r="11" spans="2:17" x14ac:dyDescent="0.25">
      <c r="B11" s="514"/>
      <c r="C11" s="1123" t="s">
        <v>59</v>
      </c>
      <c r="D11" s="1803" t="str">
        <f>IF('1A'!G5="","Enter Project Name on Form 1A",'1A'!G5)</f>
        <v>University District Apartments</v>
      </c>
      <c r="E11" s="1803"/>
      <c r="F11" s="1803"/>
      <c r="G11" s="1803"/>
      <c r="H11" s="1803"/>
      <c r="I11" s="1803"/>
      <c r="J11" s="1803"/>
      <c r="K11" s="1208"/>
      <c r="L11" s="1208"/>
      <c r="M11" s="1385" t="s">
        <v>402</v>
      </c>
      <c r="N11" s="1326"/>
      <c r="O11" s="1123"/>
      <c r="P11" s="1123"/>
      <c r="Q11" s="516"/>
    </row>
    <row r="12" spans="2:17" ht="3.75" customHeight="1" x14ac:dyDescent="0.25">
      <c r="B12" s="514"/>
      <c r="C12" s="1123"/>
      <c r="D12" s="1123"/>
      <c r="E12" s="1123"/>
      <c r="F12" s="1123"/>
      <c r="G12" s="1123"/>
      <c r="H12" s="1123"/>
      <c r="I12" s="1123"/>
      <c r="J12" s="1208"/>
      <c r="K12" s="1208"/>
      <c r="L12" s="1208"/>
      <c r="M12" s="1208"/>
      <c r="N12" s="1123"/>
      <c r="O12" s="1123"/>
      <c r="P12" s="1123"/>
      <c r="Q12" s="516"/>
    </row>
    <row r="13" spans="2:17" x14ac:dyDescent="0.25">
      <c r="B13" s="517"/>
      <c r="C13" s="1123" t="s">
        <v>1400</v>
      </c>
      <c r="D13" s="1822" t="str">
        <f>IF('1A'!G44="","Enter Site Name on Form 1A",'1A'!G44)</f>
        <v>Project B - 9%</v>
      </c>
      <c r="E13" s="1822"/>
      <c r="F13" s="1822"/>
      <c r="G13" s="1822"/>
      <c r="H13" s="1822"/>
      <c r="I13" s="1822"/>
      <c r="J13" s="1822"/>
      <c r="K13" s="519"/>
      <c r="L13" s="519"/>
      <c r="M13" s="519"/>
      <c r="N13" s="519"/>
      <c r="O13" s="520"/>
      <c r="P13" s="519"/>
      <c r="Q13" s="521"/>
    </row>
    <row r="14" spans="2:17" ht="7.5" customHeight="1" x14ac:dyDescent="0.25">
      <c r="B14" s="517"/>
      <c r="C14" s="522"/>
      <c r="D14" s="519"/>
      <c r="E14" s="518"/>
      <c r="F14" s="518"/>
      <c r="G14" s="518"/>
      <c r="H14" s="518"/>
      <c r="I14" s="518"/>
      <c r="J14" s="519"/>
      <c r="K14" s="519"/>
      <c r="L14" s="519"/>
      <c r="M14" s="519"/>
      <c r="N14" s="519"/>
      <c r="O14" s="520"/>
      <c r="P14" s="519"/>
      <c r="Q14" s="521"/>
    </row>
    <row r="15" spans="2:17" ht="15.75" thickBot="1" x14ac:dyDescent="0.3">
      <c r="B15" s="523"/>
      <c r="C15" s="592" t="s">
        <v>403</v>
      </c>
      <c r="D15" s="443"/>
      <c r="E15" s="444"/>
      <c r="F15" s="444"/>
      <c r="G15" s="444"/>
      <c r="H15" s="444"/>
      <c r="I15" s="444"/>
      <c r="J15" s="443"/>
      <c r="K15" s="443"/>
      <c r="L15" s="443"/>
      <c r="M15" s="443"/>
      <c r="N15" s="443"/>
      <c r="O15" s="445"/>
      <c r="P15" s="443"/>
      <c r="Q15" s="525"/>
    </row>
    <row r="16" spans="2:17" ht="15.75" thickBot="1" x14ac:dyDescent="0.3">
      <c r="B16" s="394"/>
      <c r="C16" s="1208"/>
      <c r="D16" s="515"/>
      <c r="E16" s="1208"/>
      <c r="F16" s="1208"/>
      <c r="G16" s="1208"/>
      <c r="H16" s="1208"/>
      <c r="I16" s="1208"/>
      <c r="J16" s="446" t="s">
        <v>404</v>
      </c>
      <c r="K16" s="447" t="s">
        <v>405</v>
      </c>
      <c r="L16" s="447" t="s">
        <v>406</v>
      </c>
      <c r="M16" s="447" t="s">
        <v>407</v>
      </c>
      <c r="N16" s="447" t="s">
        <v>408</v>
      </c>
      <c r="O16" s="447" t="s">
        <v>409</v>
      </c>
      <c r="P16" s="448" t="s">
        <v>410</v>
      </c>
      <c r="Q16" s="944"/>
    </row>
    <row r="17" spans="2:17" ht="15.75" thickBot="1" x14ac:dyDescent="0.3">
      <c r="B17" s="394"/>
      <c r="C17" s="524" t="s">
        <v>411</v>
      </c>
      <c r="D17" s="942"/>
      <c r="E17" s="1208"/>
      <c r="F17" s="1208"/>
      <c r="G17" s="1208"/>
      <c r="H17" s="449" t="s">
        <v>412</v>
      </c>
      <c r="I17" s="1208"/>
      <c r="J17" s="450"/>
      <c r="K17" s="451"/>
      <c r="L17" s="451"/>
      <c r="M17" s="451"/>
      <c r="N17" s="451"/>
      <c r="O17" s="451"/>
      <c r="P17" s="452"/>
      <c r="Q17" s="944"/>
    </row>
    <row r="18" spans="2:17" x14ac:dyDescent="0.25">
      <c r="B18" s="394"/>
      <c r="C18" s="526" t="s">
        <v>413</v>
      </c>
      <c r="D18" s="1327"/>
      <c r="E18" s="1327"/>
      <c r="F18" s="1327"/>
      <c r="G18" s="1328"/>
      <c r="H18" s="1659">
        <v>2.5000000000000001E-2</v>
      </c>
      <c r="I18" s="1329"/>
      <c r="J18" s="1806">
        <f>'8A - 9%'!L25</f>
        <v>368964</v>
      </c>
      <c r="K18" s="527">
        <f t="shared" ref="K18:P18" si="0">J18+(J18*$H18)</f>
        <v>378188.1</v>
      </c>
      <c r="L18" s="527">
        <f t="shared" si="0"/>
        <v>387642.80249999999</v>
      </c>
      <c r="M18" s="527">
        <f t="shared" si="0"/>
        <v>397333.87256250001</v>
      </c>
      <c r="N18" s="527">
        <f t="shared" si="0"/>
        <v>407267.21937656251</v>
      </c>
      <c r="O18" s="527">
        <f t="shared" si="0"/>
        <v>417448.89986097655</v>
      </c>
      <c r="P18" s="528">
        <f t="shared" si="0"/>
        <v>427885.12235750095</v>
      </c>
      <c r="Q18" s="944"/>
    </row>
    <row r="19" spans="2:17" ht="15.75" thickBot="1" x14ac:dyDescent="0.3">
      <c r="B19" s="394"/>
      <c r="C19" s="529" t="s">
        <v>361</v>
      </c>
      <c r="D19" s="530"/>
      <c r="E19" s="1330"/>
      <c r="F19" s="1330"/>
      <c r="G19" s="1331"/>
      <c r="H19" s="1372"/>
      <c r="I19" s="1332"/>
      <c r="J19" s="788"/>
      <c r="K19" s="1373"/>
      <c r="L19" s="1373"/>
      <c r="M19" s="1373"/>
      <c r="N19" s="1373"/>
      <c r="O19" s="1373"/>
      <c r="P19" s="1374"/>
      <c r="Q19" s="944"/>
    </row>
    <row r="20" spans="2:17" ht="15.75" thickBot="1" x14ac:dyDescent="0.3">
      <c r="B20" s="394"/>
      <c r="C20" s="529" t="s">
        <v>371</v>
      </c>
      <c r="D20" s="531"/>
      <c r="E20" s="1333"/>
      <c r="F20" s="1333"/>
      <c r="G20" s="942"/>
      <c r="H20" s="1334"/>
      <c r="I20" s="1331"/>
      <c r="J20" s="1807">
        <f>'8B - 9%'!H30</f>
        <v>0</v>
      </c>
      <c r="K20" s="527">
        <v>0</v>
      </c>
      <c r="L20" s="527">
        <v>0</v>
      </c>
      <c r="M20" s="527">
        <v>0</v>
      </c>
      <c r="N20" s="527">
        <v>0</v>
      </c>
      <c r="O20" s="527">
        <v>0</v>
      </c>
      <c r="P20" s="528">
        <v>0</v>
      </c>
      <c r="Q20" s="944"/>
    </row>
    <row r="21" spans="2:17" x14ac:dyDescent="0.25">
      <c r="B21" s="394"/>
      <c r="C21" s="529" t="s">
        <v>414</v>
      </c>
      <c r="D21" s="2535" t="s">
        <v>1577</v>
      </c>
      <c r="E21" s="2536"/>
      <c r="F21" s="2537"/>
      <c r="G21" s="942"/>
      <c r="H21" s="1659">
        <v>2.5000000000000001E-2</v>
      </c>
      <c r="I21" s="1332"/>
      <c r="J21" s="1662">
        <f>6625</f>
        <v>6625</v>
      </c>
      <c r="K21" s="527">
        <f t="shared" ref="K21:P21" si="1">J21+(J21*$H21)</f>
        <v>6790.625</v>
      </c>
      <c r="L21" s="527">
        <f t="shared" si="1"/>
        <v>6960.390625</v>
      </c>
      <c r="M21" s="527">
        <f t="shared" si="1"/>
        <v>7134.400390625</v>
      </c>
      <c r="N21" s="527">
        <f t="shared" si="1"/>
        <v>7312.7604003906254</v>
      </c>
      <c r="O21" s="527">
        <f t="shared" si="1"/>
        <v>7495.5794104003908</v>
      </c>
      <c r="P21" s="528">
        <f t="shared" si="1"/>
        <v>7682.9688956604004</v>
      </c>
      <c r="Q21" s="944"/>
    </row>
    <row r="22" spans="2:17" ht="15.75" thickBot="1" x14ac:dyDescent="0.3">
      <c r="B22" s="394"/>
      <c r="C22" s="529" t="s">
        <v>414</v>
      </c>
      <c r="D22" s="2535" t="s">
        <v>1578</v>
      </c>
      <c r="E22" s="2536"/>
      <c r="F22" s="2537"/>
      <c r="G22" s="942"/>
      <c r="H22" s="1661">
        <v>2.5000000000000001E-2</v>
      </c>
      <c r="I22" s="1332"/>
      <c r="J22" s="1663">
        <f>3975</f>
        <v>3975</v>
      </c>
      <c r="K22" s="527">
        <f t="shared" ref="K22:P22" si="2">J22+(J22*$H22)</f>
        <v>4074.375</v>
      </c>
      <c r="L22" s="527">
        <f t="shared" si="2"/>
        <v>4176.234375</v>
      </c>
      <c r="M22" s="527">
        <f t="shared" si="2"/>
        <v>4280.6402343749996</v>
      </c>
      <c r="N22" s="527">
        <f t="shared" si="2"/>
        <v>4387.6562402343743</v>
      </c>
      <c r="O22" s="527">
        <f t="shared" si="2"/>
        <v>4497.3476462402341</v>
      </c>
      <c r="P22" s="528">
        <f t="shared" si="2"/>
        <v>4609.7813373962399</v>
      </c>
      <c r="Q22" s="944"/>
    </row>
    <row r="23" spans="2:17" x14ac:dyDescent="0.25">
      <c r="B23" s="394"/>
      <c r="C23" s="532" t="s">
        <v>415</v>
      </c>
      <c r="D23" s="1208"/>
      <c r="E23" s="1208"/>
      <c r="F23" s="1208"/>
      <c r="G23" s="1208"/>
      <c r="H23" s="1208"/>
      <c r="I23" s="533" t="s">
        <v>416</v>
      </c>
      <c r="J23" s="453">
        <f>SUM(J18:J22)</f>
        <v>379564</v>
      </c>
      <c r="K23" s="454">
        <f t="shared" ref="K23:P23" si="3">SUM(K18:K22)</f>
        <v>389053.1</v>
      </c>
      <c r="L23" s="454">
        <f t="shared" si="3"/>
        <v>398779.42749999999</v>
      </c>
      <c r="M23" s="454">
        <f t="shared" si="3"/>
        <v>408748.91318750003</v>
      </c>
      <c r="N23" s="454">
        <f t="shared" si="3"/>
        <v>418967.6360171875</v>
      </c>
      <c r="O23" s="454">
        <f t="shared" si="3"/>
        <v>429441.82691761723</v>
      </c>
      <c r="P23" s="455">
        <f t="shared" si="3"/>
        <v>440177.87259055761</v>
      </c>
      <c r="Q23" s="944"/>
    </row>
    <row r="24" spans="2:17" x14ac:dyDescent="0.25">
      <c r="B24" s="394"/>
      <c r="C24" s="532"/>
      <c r="D24" s="533"/>
      <c r="E24" s="1208"/>
      <c r="F24" s="1208"/>
      <c r="G24" s="1208"/>
      <c r="H24" s="1208"/>
      <c r="I24" s="1208"/>
      <c r="J24" s="456"/>
      <c r="K24" s="457"/>
      <c r="L24" s="457"/>
      <c r="M24" s="457"/>
      <c r="N24" s="457"/>
      <c r="O24" s="457"/>
      <c r="P24" s="458"/>
      <c r="Q24" s="944"/>
    </row>
    <row r="25" spans="2:17" x14ac:dyDescent="0.25">
      <c r="B25" s="394"/>
      <c r="C25" s="532" t="s">
        <v>417</v>
      </c>
      <c r="D25" s="534"/>
      <c r="E25" s="1208"/>
      <c r="F25" s="1208"/>
      <c r="G25" s="1208"/>
      <c r="H25" s="1335"/>
      <c r="I25" s="942"/>
      <c r="J25" s="1662">
        <v>0</v>
      </c>
      <c r="K25" s="1664">
        <v>0</v>
      </c>
      <c r="L25" s="1664">
        <v>0</v>
      </c>
      <c r="M25" s="1664">
        <v>0</v>
      </c>
      <c r="N25" s="1664">
        <v>0</v>
      </c>
      <c r="O25" s="1664">
        <v>0</v>
      </c>
      <c r="P25" s="1665">
        <v>0</v>
      </c>
      <c r="Q25" s="944"/>
    </row>
    <row r="26" spans="2:17" x14ac:dyDescent="0.25">
      <c r="B26" s="394"/>
      <c r="C26" s="532"/>
      <c r="D26" s="534"/>
      <c r="E26" s="1208"/>
      <c r="F26" s="1208"/>
      <c r="G26" s="1208"/>
      <c r="H26" s="1208"/>
      <c r="I26" s="1208"/>
      <c r="J26" s="456"/>
      <c r="K26" s="457"/>
      <c r="L26" s="457"/>
      <c r="M26" s="457"/>
      <c r="N26" s="457"/>
      <c r="O26" s="457"/>
      <c r="P26" s="458"/>
      <c r="Q26" s="944"/>
    </row>
    <row r="27" spans="2:17" ht="15.75" thickBot="1" x14ac:dyDescent="0.3">
      <c r="B27" s="394"/>
      <c r="C27" s="535" t="s">
        <v>418</v>
      </c>
      <c r="D27" s="536"/>
      <c r="E27" s="1336"/>
      <c r="F27" s="1336"/>
      <c r="G27" s="1336"/>
      <c r="H27" s="1337"/>
      <c r="I27" s="1338"/>
      <c r="J27" s="1666">
        <v>0</v>
      </c>
      <c r="K27" s="1667">
        <v>0</v>
      </c>
      <c r="L27" s="1667">
        <v>0</v>
      </c>
      <c r="M27" s="1667">
        <v>0</v>
      </c>
      <c r="N27" s="1667">
        <v>0</v>
      </c>
      <c r="O27" s="1667">
        <v>0</v>
      </c>
      <c r="P27" s="1668">
        <v>0</v>
      </c>
      <c r="Q27" s="944"/>
    </row>
    <row r="28" spans="2:17" ht="15.75" thickTop="1" x14ac:dyDescent="0.25">
      <c r="B28" s="394"/>
      <c r="C28" s="524" t="s">
        <v>419</v>
      </c>
      <c r="D28" s="1208"/>
      <c r="E28" s="1208"/>
      <c r="F28" s="1208"/>
      <c r="G28" s="1208"/>
      <c r="H28" s="1208"/>
      <c r="I28" s="534" t="s">
        <v>416</v>
      </c>
      <c r="J28" s="459">
        <f>J23+J25+J27</f>
        <v>379564</v>
      </c>
      <c r="K28" s="460">
        <f t="shared" ref="K28:P28" si="4">K23+K25+K27</f>
        <v>389053.1</v>
      </c>
      <c r="L28" s="460">
        <f t="shared" si="4"/>
        <v>398779.42749999999</v>
      </c>
      <c r="M28" s="460">
        <f t="shared" si="4"/>
        <v>408748.91318750003</v>
      </c>
      <c r="N28" s="460">
        <f t="shared" si="4"/>
        <v>418967.6360171875</v>
      </c>
      <c r="O28" s="460">
        <f t="shared" si="4"/>
        <v>429441.82691761723</v>
      </c>
      <c r="P28" s="461">
        <f t="shared" si="4"/>
        <v>440177.87259055761</v>
      </c>
      <c r="Q28" s="944"/>
    </row>
    <row r="29" spans="2:17" ht="15.75" thickBot="1" x14ac:dyDescent="0.3">
      <c r="B29" s="394"/>
      <c r="C29" s="524"/>
      <c r="D29" s="1208"/>
      <c r="E29" s="1208"/>
      <c r="F29" s="1208"/>
      <c r="G29" s="1208"/>
      <c r="H29" s="537" t="s">
        <v>420</v>
      </c>
      <c r="I29" s="1208"/>
      <c r="J29" s="456"/>
      <c r="K29" s="457"/>
      <c r="L29" s="457"/>
      <c r="M29" s="457"/>
      <c r="N29" s="457"/>
      <c r="O29" s="457"/>
      <c r="P29" s="458"/>
      <c r="Q29" s="944"/>
    </row>
    <row r="30" spans="2:17" x14ac:dyDescent="0.25">
      <c r="B30" s="394"/>
      <c r="C30" s="538" t="s">
        <v>421</v>
      </c>
      <c r="D30" s="1327"/>
      <c r="E30" s="1327"/>
      <c r="F30" s="1327"/>
      <c r="G30" s="1328"/>
      <c r="H30" s="1659">
        <v>0.05</v>
      </c>
      <c r="I30" s="1329"/>
      <c r="J30" s="1339">
        <f>-J23*$H30</f>
        <v>-18978.2</v>
      </c>
      <c r="K30" s="1340">
        <f t="shared" ref="K30:P30" si="5">-K23*$H30</f>
        <v>-19452.654999999999</v>
      </c>
      <c r="L30" s="1340">
        <f t="shared" si="5"/>
        <v>-19938.971375000001</v>
      </c>
      <c r="M30" s="1340">
        <f t="shared" si="5"/>
        <v>-20437.445659375004</v>
      </c>
      <c r="N30" s="1340">
        <f t="shared" si="5"/>
        <v>-20948.381800859377</v>
      </c>
      <c r="O30" s="1340">
        <f t="shared" si="5"/>
        <v>-21472.091345880865</v>
      </c>
      <c r="P30" s="1341">
        <f t="shared" si="5"/>
        <v>-22008.893629527884</v>
      </c>
      <c r="Q30" s="944"/>
    </row>
    <row r="31" spans="2:17" ht="15.75" thickBot="1" x14ac:dyDescent="0.3">
      <c r="B31" s="394"/>
      <c r="C31" s="539" t="s">
        <v>422</v>
      </c>
      <c r="D31" s="1336"/>
      <c r="E31" s="1336"/>
      <c r="F31" s="1336"/>
      <c r="G31" s="1336"/>
      <c r="H31" s="1669">
        <v>0.1</v>
      </c>
      <c r="I31" s="1342"/>
      <c r="J31" s="1343">
        <f>-J27*$H31</f>
        <v>0</v>
      </c>
      <c r="K31" s="1344">
        <f t="shared" ref="K31:P31" si="6">-K27*$H31</f>
        <v>0</v>
      </c>
      <c r="L31" s="1344">
        <f t="shared" si="6"/>
        <v>0</v>
      </c>
      <c r="M31" s="1344">
        <f t="shared" si="6"/>
        <v>0</v>
      </c>
      <c r="N31" s="1344">
        <f t="shared" si="6"/>
        <v>0</v>
      </c>
      <c r="O31" s="1344">
        <f t="shared" si="6"/>
        <v>0</v>
      </c>
      <c r="P31" s="1345">
        <f t="shared" si="6"/>
        <v>0</v>
      </c>
      <c r="Q31" s="944"/>
    </row>
    <row r="32" spans="2:17" ht="16.5" thickTop="1" thickBot="1" x14ac:dyDescent="0.3">
      <c r="B32" s="394"/>
      <c r="C32" s="540" t="s">
        <v>423</v>
      </c>
      <c r="D32" s="1208"/>
      <c r="E32" s="1208"/>
      <c r="F32" s="1208"/>
      <c r="G32" s="1208"/>
      <c r="H32" s="1208"/>
      <c r="I32" s="533" t="s">
        <v>416</v>
      </c>
      <c r="J32" s="1714">
        <f>J28+J30+J31</f>
        <v>360585.8</v>
      </c>
      <c r="K32" s="1715">
        <f t="shared" ref="K32:P32" si="7">K28+K30+K31</f>
        <v>369600.44499999995</v>
      </c>
      <c r="L32" s="1715">
        <f t="shared" si="7"/>
        <v>378840.45612499997</v>
      </c>
      <c r="M32" s="1715">
        <f t="shared" si="7"/>
        <v>388311.46752812504</v>
      </c>
      <c r="N32" s="1715">
        <f t="shared" si="7"/>
        <v>398019.25421632815</v>
      </c>
      <c r="O32" s="1715">
        <f t="shared" si="7"/>
        <v>407969.73557173635</v>
      </c>
      <c r="P32" s="1716">
        <f t="shared" si="7"/>
        <v>418168.97896102973</v>
      </c>
      <c r="Q32" s="944"/>
    </row>
    <row r="33" spans="2:17" ht="7.5" customHeight="1" x14ac:dyDescent="0.25">
      <c r="B33" s="394"/>
      <c r="C33" s="942"/>
      <c r="D33" s="942"/>
      <c r="E33" s="1208"/>
      <c r="F33" s="1208"/>
      <c r="G33" s="1208"/>
      <c r="H33" s="1208"/>
      <c r="I33" s="1208"/>
      <c r="J33" s="942"/>
      <c r="K33" s="942"/>
      <c r="L33" s="942"/>
      <c r="M33" s="942"/>
      <c r="N33" s="942"/>
      <c r="O33" s="942"/>
      <c r="P33" s="942"/>
      <c r="Q33" s="944"/>
    </row>
    <row r="34" spans="2:17" ht="15.75" thickBot="1" x14ac:dyDescent="0.3">
      <c r="B34" s="517"/>
      <c r="C34" s="593" t="s">
        <v>424</v>
      </c>
      <c r="D34" s="463"/>
      <c r="E34" s="463"/>
      <c r="F34" s="463"/>
      <c r="G34" s="463"/>
      <c r="H34" s="463"/>
      <c r="I34" s="463"/>
      <c r="J34" s="463"/>
      <c r="K34" s="463"/>
      <c r="L34" s="463"/>
      <c r="M34" s="464"/>
      <c r="N34" s="463"/>
      <c r="O34" s="463"/>
      <c r="P34" s="463"/>
      <c r="Q34" s="521"/>
    </row>
    <row r="35" spans="2:17" ht="36.75" thickBot="1" x14ac:dyDescent="0.3">
      <c r="B35" s="517"/>
      <c r="C35" s="524" t="s">
        <v>425</v>
      </c>
      <c r="D35" s="515"/>
      <c r="E35" s="532"/>
      <c r="F35" s="541" t="s">
        <v>412</v>
      </c>
      <c r="G35" s="542"/>
      <c r="H35" s="518"/>
      <c r="I35" s="465" t="s">
        <v>426</v>
      </c>
      <c r="J35" s="446" t="s">
        <v>404</v>
      </c>
      <c r="K35" s="447" t="s">
        <v>405</v>
      </c>
      <c r="L35" s="447" t="s">
        <v>406</v>
      </c>
      <c r="M35" s="447" t="s">
        <v>407</v>
      </c>
      <c r="N35" s="447" t="s">
        <v>408</v>
      </c>
      <c r="O35" s="447" t="s">
        <v>409</v>
      </c>
      <c r="P35" s="448" t="s">
        <v>410</v>
      </c>
      <c r="Q35" s="516"/>
    </row>
    <row r="36" spans="2:17" x14ac:dyDescent="0.25">
      <c r="B36" s="517"/>
      <c r="C36" s="543" t="s">
        <v>427</v>
      </c>
      <c r="D36" s="544"/>
      <c r="E36" s="545"/>
      <c r="F36" s="1659">
        <v>3.5000000000000003E-2</v>
      </c>
      <c r="G36" s="1346"/>
      <c r="H36" s="546"/>
      <c r="I36" s="466">
        <f>IFERROR(J36/'1B - 4%'!$L$23,"")</f>
        <v>795.92499999999995</v>
      </c>
      <c r="J36" s="547">
        <f>63674</f>
        <v>63674</v>
      </c>
      <c r="K36" s="548">
        <f t="shared" ref="K36:P36" si="8">J36+(J36*$F36)</f>
        <v>65902.59</v>
      </c>
      <c r="L36" s="548">
        <f t="shared" si="8"/>
        <v>68209.180649999995</v>
      </c>
      <c r="M36" s="548">
        <f t="shared" si="8"/>
        <v>70596.501972749989</v>
      </c>
      <c r="N36" s="548">
        <f t="shared" si="8"/>
        <v>73067.379541796239</v>
      </c>
      <c r="O36" s="548">
        <f t="shared" si="8"/>
        <v>75624.737825759104</v>
      </c>
      <c r="P36" s="549">
        <f t="shared" si="8"/>
        <v>78271.603649660668</v>
      </c>
      <c r="Q36" s="516"/>
    </row>
    <row r="37" spans="2:17" x14ac:dyDescent="0.25">
      <c r="B37" s="550"/>
      <c r="C37" s="551" t="s">
        <v>428</v>
      </c>
      <c r="D37" s="552"/>
      <c r="E37" s="553"/>
      <c r="F37" s="1670">
        <v>2.5000000000000001E-2</v>
      </c>
      <c r="G37" s="1347"/>
      <c r="H37" s="554"/>
      <c r="I37" s="467">
        <f>IFERROR(J37/'1B - 4%'!$L$23,"")</f>
        <v>441.76249999999999</v>
      </c>
      <c r="J37" s="555">
        <v>35341</v>
      </c>
      <c r="K37" s="556">
        <f t="shared" ref="K37:P52" si="9">J37+(J37*$F37)</f>
        <v>36224.525000000001</v>
      </c>
      <c r="L37" s="556">
        <f t="shared" si="9"/>
        <v>37130.138125000005</v>
      </c>
      <c r="M37" s="556">
        <f t="shared" si="9"/>
        <v>38058.391578125003</v>
      </c>
      <c r="N37" s="556">
        <f t="shared" si="9"/>
        <v>39009.851367578129</v>
      </c>
      <c r="O37" s="556">
        <f t="shared" si="9"/>
        <v>39985.097651767581</v>
      </c>
      <c r="P37" s="557">
        <f t="shared" si="9"/>
        <v>40984.725093061774</v>
      </c>
      <c r="Q37" s="516"/>
    </row>
    <row r="38" spans="2:17" x14ac:dyDescent="0.25">
      <c r="B38" s="517"/>
      <c r="C38" s="551" t="s">
        <v>429</v>
      </c>
      <c r="D38" s="552"/>
      <c r="E38" s="553"/>
      <c r="F38" s="1670">
        <v>3.5000000000000003E-2</v>
      </c>
      <c r="G38" s="1347"/>
      <c r="H38" s="554"/>
      <c r="I38" s="467">
        <f>IFERROR(J38/'1B - 4%'!$L$23,"")</f>
        <v>106.25</v>
      </c>
      <c r="J38" s="555">
        <f>'8E 9%'!J48</f>
        <v>8500</v>
      </c>
      <c r="K38" s="556">
        <f t="shared" si="9"/>
        <v>8797.5</v>
      </c>
      <c r="L38" s="556">
        <f t="shared" si="9"/>
        <v>9105.4125000000004</v>
      </c>
      <c r="M38" s="556">
        <f t="shared" si="9"/>
        <v>9424.1019374999996</v>
      </c>
      <c r="N38" s="556">
        <f t="shared" si="9"/>
        <v>9753.9455053125002</v>
      </c>
      <c r="O38" s="556">
        <f t="shared" si="9"/>
        <v>10095.333597998439</v>
      </c>
      <c r="P38" s="557">
        <f t="shared" si="9"/>
        <v>10448.670273928385</v>
      </c>
      <c r="Q38" s="516"/>
    </row>
    <row r="39" spans="2:17" x14ac:dyDescent="0.25">
      <c r="B39" s="517"/>
      <c r="C39" s="551" t="s">
        <v>430</v>
      </c>
      <c r="D39" s="553"/>
      <c r="E39" s="552"/>
      <c r="F39" s="1670">
        <v>3.5000000000000003E-2</v>
      </c>
      <c r="G39" s="1347"/>
      <c r="H39" s="554"/>
      <c r="I39" s="467">
        <f>IFERROR(J39/'1B - 4%'!$L$23,"")</f>
        <v>13.25</v>
      </c>
      <c r="J39" s="555">
        <f>'8E 9%'!J49</f>
        <v>1060</v>
      </c>
      <c r="K39" s="556">
        <f t="shared" si="9"/>
        <v>1097.0999999999999</v>
      </c>
      <c r="L39" s="556">
        <f t="shared" si="9"/>
        <v>1135.4984999999999</v>
      </c>
      <c r="M39" s="556">
        <f t="shared" si="9"/>
        <v>1175.2409474999999</v>
      </c>
      <c r="N39" s="556">
        <f t="shared" si="9"/>
        <v>1216.3743806625</v>
      </c>
      <c r="O39" s="556">
        <f t="shared" si="9"/>
        <v>1258.9474839856875</v>
      </c>
      <c r="P39" s="557">
        <f t="shared" si="9"/>
        <v>1303.0106459251865</v>
      </c>
      <c r="Q39" s="516"/>
    </row>
    <row r="40" spans="2:17" x14ac:dyDescent="0.25">
      <c r="B40" s="517"/>
      <c r="C40" s="551" t="s">
        <v>431</v>
      </c>
      <c r="D40" s="552"/>
      <c r="E40" s="553"/>
      <c r="F40" s="1670">
        <v>3.5000000000000003E-2</v>
      </c>
      <c r="G40" s="1347"/>
      <c r="H40" s="554"/>
      <c r="I40" s="467">
        <f>IFERROR(J40/'1B - 4%'!$L$23,"")</f>
        <v>198.75</v>
      </c>
      <c r="J40" s="555">
        <f>'8E 9%'!J50</f>
        <v>15900</v>
      </c>
      <c r="K40" s="556">
        <f t="shared" si="9"/>
        <v>16456.5</v>
      </c>
      <c r="L40" s="556">
        <f t="shared" si="9"/>
        <v>17032.477500000001</v>
      </c>
      <c r="M40" s="556">
        <f t="shared" si="9"/>
        <v>17628.614212500001</v>
      </c>
      <c r="N40" s="556">
        <f t="shared" si="9"/>
        <v>18245.615709937501</v>
      </c>
      <c r="O40" s="556">
        <f t="shared" si="9"/>
        <v>18884.212259785316</v>
      </c>
      <c r="P40" s="557">
        <f t="shared" si="9"/>
        <v>19545.1596888778</v>
      </c>
      <c r="Q40" s="516"/>
    </row>
    <row r="41" spans="2:17" x14ac:dyDescent="0.25">
      <c r="B41" s="517"/>
      <c r="C41" s="551" t="s">
        <v>432</v>
      </c>
      <c r="D41" s="552"/>
      <c r="E41" s="553"/>
      <c r="F41" s="1670">
        <v>3.5000000000000003E-2</v>
      </c>
      <c r="G41" s="1347"/>
      <c r="H41" s="554"/>
      <c r="I41" s="467">
        <f>IFERROR(J41/'1B - 4%'!$L$23,"")</f>
        <v>11.45</v>
      </c>
      <c r="J41" s="555">
        <f>'8E 9%'!J51</f>
        <v>916</v>
      </c>
      <c r="K41" s="556">
        <f t="shared" si="9"/>
        <v>948.06</v>
      </c>
      <c r="L41" s="556">
        <f t="shared" si="9"/>
        <v>981.24209999999994</v>
      </c>
      <c r="M41" s="556">
        <f t="shared" si="9"/>
        <v>1015.5855734999999</v>
      </c>
      <c r="N41" s="556">
        <f t="shared" si="9"/>
        <v>1051.1310685725</v>
      </c>
      <c r="O41" s="556">
        <f t="shared" si="9"/>
        <v>1087.9206559725376</v>
      </c>
      <c r="P41" s="557">
        <f t="shared" si="9"/>
        <v>1125.9978789315765</v>
      </c>
      <c r="Q41" s="516"/>
    </row>
    <row r="42" spans="2:17" x14ac:dyDescent="0.25">
      <c r="B42" s="517"/>
      <c r="C42" s="551" t="s">
        <v>433</v>
      </c>
      <c r="D42" s="552"/>
      <c r="E42" s="553"/>
      <c r="F42" s="1670">
        <v>3.5000000000000003E-2</v>
      </c>
      <c r="G42" s="1347"/>
      <c r="H42" s="554"/>
      <c r="I42" s="467">
        <f>IFERROR(J42/'1B - 4%'!$L$23,"")</f>
        <v>5.9749999999999996</v>
      </c>
      <c r="J42" s="555">
        <f>'8E 9%'!J52</f>
        <v>478</v>
      </c>
      <c r="K42" s="556">
        <f t="shared" si="9"/>
        <v>494.73</v>
      </c>
      <c r="L42" s="556">
        <f t="shared" si="9"/>
        <v>512.04555000000005</v>
      </c>
      <c r="M42" s="556">
        <f t="shared" si="9"/>
        <v>529.96714425000005</v>
      </c>
      <c r="N42" s="556">
        <f t="shared" si="9"/>
        <v>548.51599429875</v>
      </c>
      <c r="O42" s="556">
        <f t="shared" si="9"/>
        <v>567.71405409920624</v>
      </c>
      <c r="P42" s="557">
        <f t="shared" si="9"/>
        <v>587.58404599267851</v>
      </c>
      <c r="Q42" s="516"/>
    </row>
    <row r="43" spans="2:17" x14ac:dyDescent="0.25">
      <c r="B43" s="517"/>
      <c r="C43" s="551" t="s">
        <v>434</v>
      </c>
      <c r="D43" s="553"/>
      <c r="E43" s="552"/>
      <c r="F43" s="1670">
        <v>3.5000000000000003E-2</v>
      </c>
      <c r="G43" s="1347"/>
      <c r="H43" s="554"/>
      <c r="I43" s="467">
        <f>IFERROR(J43/'1B - 4%'!$L$23,"")</f>
        <v>0</v>
      </c>
      <c r="J43" s="555">
        <f>'8E 9%'!J53</f>
        <v>0</v>
      </c>
      <c r="K43" s="556">
        <f t="shared" si="9"/>
        <v>0</v>
      </c>
      <c r="L43" s="556">
        <f t="shared" si="9"/>
        <v>0</v>
      </c>
      <c r="M43" s="556">
        <f t="shared" si="9"/>
        <v>0</v>
      </c>
      <c r="N43" s="556">
        <f t="shared" si="9"/>
        <v>0</v>
      </c>
      <c r="O43" s="556">
        <f t="shared" si="9"/>
        <v>0</v>
      </c>
      <c r="P43" s="557">
        <f t="shared" si="9"/>
        <v>0</v>
      </c>
      <c r="Q43" s="516"/>
    </row>
    <row r="44" spans="2:17" x14ac:dyDescent="0.25">
      <c r="B44" s="517"/>
      <c r="C44" s="551" t="s">
        <v>435</v>
      </c>
      <c r="D44" s="552"/>
      <c r="E44" s="553"/>
      <c r="F44" s="1670">
        <v>3.5000000000000003E-2</v>
      </c>
      <c r="G44" s="1347"/>
      <c r="H44" s="554"/>
      <c r="I44" s="467">
        <f>IFERROR(J44/'1B - 4%'!$L$23,"")</f>
        <v>59.625</v>
      </c>
      <c r="J44" s="555">
        <f>'8E 9%'!J54</f>
        <v>4770</v>
      </c>
      <c r="K44" s="556">
        <f t="shared" si="9"/>
        <v>4936.95</v>
      </c>
      <c r="L44" s="556">
        <f t="shared" si="9"/>
        <v>5109.7432499999995</v>
      </c>
      <c r="M44" s="556">
        <f t="shared" si="9"/>
        <v>5288.5842637499991</v>
      </c>
      <c r="N44" s="556">
        <f t="shared" si="9"/>
        <v>5473.6847129812495</v>
      </c>
      <c r="O44" s="556">
        <f t="shared" si="9"/>
        <v>5665.2636779355935</v>
      </c>
      <c r="P44" s="557">
        <f t="shared" si="9"/>
        <v>5863.5479066633388</v>
      </c>
      <c r="Q44" s="516"/>
    </row>
    <row r="45" spans="2:17" x14ac:dyDescent="0.25">
      <c r="B45" s="517"/>
      <c r="C45" s="551" t="s">
        <v>436</v>
      </c>
      <c r="D45" s="553"/>
      <c r="E45" s="553"/>
      <c r="F45" s="1670">
        <v>3.5000000000000003E-2</v>
      </c>
      <c r="G45" s="1347"/>
      <c r="H45" s="554"/>
      <c r="I45" s="467">
        <f>IFERROR(J45/'1B - 4%'!$L$23,"")</f>
        <v>132.5</v>
      </c>
      <c r="J45" s="555">
        <f>'8E 9%'!J55</f>
        <v>10600</v>
      </c>
      <c r="K45" s="556">
        <f t="shared" si="9"/>
        <v>10971</v>
      </c>
      <c r="L45" s="556">
        <f t="shared" si="9"/>
        <v>11354.985000000001</v>
      </c>
      <c r="M45" s="556">
        <f t="shared" si="9"/>
        <v>11752.409475</v>
      </c>
      <c r="N45" s="556">
        <f t="shared" si="9"/>
        <v>12163.743806625</v>
      </c>
      <c r="O45" s="556">
        <f t="shared" si="9"/>
        <v>12589.474839856875</v>
      </c>
      <c r="P45" s="557">
        <f t="shared" si="9"/>
        <v>13030.106459251867</v>
      </c>
      <c r="Q45" s="516"/>
    </row>
    <row r="46" spans="2:17" x14ac:dyDescent="0.25">
      <c r="B46" s="517"/>
      <c r="C46" s="551" t="s">
        <v>437</v>
      </c>
      <c r="D46" s="552"/>
      <c r="E46" s="553"/>
      <c r="F46" s="1670">
        <v>3.5000000000000003E-2</v>
      </c>
      <c r="G46" s="1347"/>
      <c r="H46" s="554"/>
      <c r="I46" s="467">
        <f>IFERROR(J46/'1B - 4%'!$L$23,"")</f>
        <v>55.65</v>
      </c>
      <c r="J46" s="555">
        <f>'8E 9%'!J56</f>
        <v>4452</v>
      </c>
      <c r="K46" s="556">
        <f t="shared" si="9"/>
        <v>4607.82</v>
      </c>
      <c r="L46" s="556">
        <f t="shared" si="9"/>
        <v>4769.0936999999994</v>
      </c>
      <c r="M46" s="556">
        <f t="shared" si="9"/>
        <v>4936.0119794999991</v>
      </c>
      <c r="N46" s="556">
        <f t="shared" si="9"/>
        <v>5108.7723987824993</v>
      </c>
      <c r="O46" s="556">
        <f t="shared" si="9"/>
        <v>5287.5794327398871</v>
      </c>
      <c r="P46" s="557">
        <f t="shared" si="9"/>
        <v>5472.6447128857835</v>
      </c>
      <c r="Q46" s="516"/>
    </row>
    <row r="47" spans="2:17" x14ac:dyDescent="0.25">
      <c r="B47" s="517"/>
      <c r="C47" s="551" t="s">
        <v>438</v>
      </c>
      <c r="D47" s="553"/>
      <c r="E47" s="553"/>
      <c r="F47" s="1670">
        <v>3.5000000000000003E-2</v>
      </c>
      <c r="G47" s="1347"/>
      <c r="H47" s="554"/>
      <c r="I47" s="467">
        <f>IFERROR(J47/'1B - 4%'!$L$23,"")</f>
        <v>33.125</v>
      </c>
      <c r="J47" s="555">
        <f>'8E 9%'!J57</f>
        <v>2650</v>
      </c>
      <c r="K47" s="556">
        <f t="shared" si="9"/>
        <v>2742.75</v>
      </c>
      <c r="L47" s="556">
        <f t="shared" si="9"/>
        <v>2838.7462500000001</v>
      </c>
      <c r="M47" s="556">
        <f t="shared" si="9"/>
        <v>2938.1023687500001</v>
      </c>
      <c r="N47" s="556">
        <f t="shared" si="9"/>
        <v>3040.9359516562499</v>
      </c>
      <c r="O47" s="556">
        <f t="shared" si="9"/>
        <v>3147.3687099642189</v>
      </c>
      <c r="P47" s="557">
        <f t="shared" si="9"/>
        <v>3257.5266148129667</v>
      </c>
      <c r="Q47" s="516"/>
    </row>
    <row r="48" spans="2:17" x14ac:dyDescent="0.25">
      <c r="B48" s="517"/>
      <c r="C48" s="551" t="s">
        <v>439</v>
      </c>
      <c r="D48" s="553"/>
      <c r="E48" s="553"/>
      <c r="F48" s="1670">
        <v>3.5000000000000003E-2</v>
      </c>
      <c r="G48" s="1347"/>
      <c r="H48" s="554"/>
      <c r="I48" s="467">
        <f>IFERROR(J48/'1B - 4%'!$L$23,"")</f>
        <v>66.25</v>
      </c>
      <c r="J48" s="555">
        <f>'8E 9%'!J58</f>
        <v>5300</v>
      </c>
      <c r="K48" s="556">
        <f t="shared" si="9"/>
        <v>5485.5</v>
      </c>
      <c r="L48" s="556">
        <f t="shared" si="9"/>
        <v>5677.4925000000003</v>
      </c>
      <c r="M48" s="556">
        <f t="shared" si="9"/>
        <v>5876.2047375000002</v>
      </c>
      <c r="N48" s="556">
        <f t="shared" si="9"/>
        <v>6081.8719033124999</v>
      </c>
      <c r="O48" s="556">
        <f t="shared" si="9"/>
        <v>6294.7374199284377</v>
      </c>
      <c r="P48" s="557">
        <f t="shared" si="9"/>
        <v>6515.0532296259335</v>
      </c>
      <c r="Q48" s="516"/>
    </row>
    <row r="49" spans="2:17" x14ac:dyDescent="0.25">
      <c r="B49" s="517"/>
      <c r="C49" s="551" t="s">
        <v>440</v>
      </c>
      <c r="D49" s="553"/>
      <c r="E49" s="553"/>
      <c r="F49" s="1670">
        <v>3.5000000000000003E-2</v>
      </c>
      <c r="G49" s="1347"/>
      <c r="H49" s="554"/>
      <c r="I49" s="467">
        <f>IFERROR(J49/'1B - 4%'!$L$23,"")</f>
        <v>33.125</v>
      </c>
      <c r="J49" s="555">
        <f>'8E 9%'!J59</f>
        <v>2650</v>
      </c>
      <c r="K49" s="556">
        <f t="shared" si="9"/>
        <v>2742.75</v>
      </c>
      <c r="L49" s="556">
        <f t="shared" si="9"/>
        <v>2838.7462500000001</v>
      </c>
      <c r="M49" s="556">
        <f t="shared" si="9"/>
        <v>2938.1023687500001</v>
      </c>
      <c r="N49" s="556">
        <f t="shared" si="9"/>
        <v>3040.9359516562499</v>
      </c>
      <c r="O49" s="556">
        <f t="shared" si="9"/>
        <v>3147.3687099642189</v>
      </c>
      <c r="P49" s="557">
        <f t="shared" si="9"/>
        <v>3257.5266148129667</v>
      </c>
      <c r="Q49" s="516"/>
    </row>
    <row r="50" spans="2:17" x14ac:dyDescent="0.25">
      <c r="B50" s="517"/>
      <c r="C50" s="551" t="s">
        <v>441</v>
      </c>
      <c r="D50" s="553"/>
      <c r="E50" s="553"/>
      <c r="F50" s="1670">
        <v>3.5000000000000003E-2</v>
      </c>
      <c r="G50" s="1347"/>
      <c r="H50" s="554"/>
      <c r="I50" s="467">
        <f>IFERROR(J50/'1B - 4%'!$L$23,"")</f>
        <v>35.112499999999997</v>
      </c>
      <c r="J50" s="555">
        <f>'8E 9%'!J60</f>
        <v>2809</v>
      </c>
      <c r="K50" s="556">
        <f t="shared" si="9"/>
        <v>2907.3150000000001</v>
      </c>
      <c r="L50" s="556">
        <f t="shared" si="9"/>
        <v>3009.0710250000002</v>
      </c>
      <c r="M50" s="556">
        <f t="shared" si="9"/>
        <v>3114.3885108750001</v>
      </c>
      <c r="N50" s="556">
        <f t="shared" si="9"/>
        <v>3223.392108755625</v>
      </c>
      <c r="O50" s="556">
        <f t="shared" si="9"/>
        <v>3336.210832562072</v>
      </c>
      <c r="P50" s="557">
        <f t="shared" si="9"/>
        <v>3452.9782117017444</v>
      </c>
      <c r="Q50" s="516"/>
    </row>
    <row r="51" spans="2:17" x14ac:dyDescent="0.25">
      <c r="B51" s="517"/>
      <c r="C51" s="551" t="s">
        <v>442</v>
      </c>
      <c r="D51" s="552"/>
      <c r="E51" s="553"/>
      <c r="F51" s="1670">
        <v>0.04</v>
      </c>
      <c r="G51" s="1347"/>
      <c r="H51" s="554"/>
      <c r="I51" s="467">
        <f>IFERROR(J51/'1B - 4%'!$L$23,"")</f>
        <v>420.6875</v>
      </c>
      <c r="J51" s="555">
        <f>'8E 9%'!J61</f>
        <v>33655</v>
      </c>
      <c r="K51" s="556">
        <f t="shared" si="9"/>
        <v>35001.199999999997</v>
      </c>
      <c r="L51" s="556">
        <f t="shared" si="9"/>
        <v>36401.248</v>
      </c>
      <c r="M51" s="556">
        <f t="shared" si="9"/>
        <v>37857.297919999997</v>
      </c>
      <c r="N51" s="556">
        <f t="shared" si="9"/>
        <v>39371.589836799998</v>
      </c>
      <c r="O51" s="556">
        <f t="shared" si="9"/>
        <v>40946.453430271999</v>
      </c>
      <c r="P51" s="557">
        <f t="shared" si="9"/>
        <v>42584.31156748288</v>
      </c>
      <c r="Q51" s="516"/>
    </row>
    <row r="52" spans="2:17" x14ac:dyDescent="0.25">
      <c r="B52" s="517"/>
      <c r="C52" s="551" t="s">
        <v>443</v>
      </c>
      <c r="D52" s="552"/>
      <c r="E52" s="553"/>
      <c r="F52" s="1670">
        <v>3.5000000000000003E-2</v>
      </c>
      <c r="G52" s="1347"/>
      <c r="H52" s="554"/>
      <c r="I52" s="467">
        <f>IFERROR(J52/'1B - 4%'!$L$23,"")</f>
        <v>92.75</v>
      </c>
      <c r="J52" s="555">
        <f>'8E 9%'!J62</f>
        <v>7420</v>
      </c>
      <c r="K52" s="556">
        <f t="shared" si="9"/>
        <v>7679.7</v>
      </c>
      <c r="L52" s="556">
        <f t="shared" si="9"/>
        <v>7948.4894999999997</v>
      </c>
      <c r="M52" s="556">
        <f t="shared" si="9"/>
        <v>8226.6866324999992</v>
      </c>
      <c r="N52" s="556">
        <f t="shared" si="9"/>
        <v>8514.6206646374994</v>
      </c>
      <c r="O52" s="556">
        <f t="shared" si="9"/>
        <v>8812.6323878998119</v>
      </c>
      <c r="P52" s="557">
        <f t="shared" si="9"/>
        <v>9121.0745214763047</v>
      </c>
      <c r="Q52" s="516"/>
    </row>
    <row r="53" spans="2:17" x14ac:dyDescent="0.25">
      <c r="B53" s="558"/>
      <c r="C53" s="551" t="s">
        <v>444</v>
      </c>
      <c r="D53" s="552"/>
      <c r="E53" s="553"/>
      <c r="F53" s="1670">
        <v>3.5000000000000003E-2</v>
      </c>
      <c r="G53" s="1347"/>
      <c r="H53" s="554"/>
      <c r="I53" s="467">
        <f>IFERROR(J53/'1B - 4%'!$L$23,"")</f>
        <v>53</v>
      </c>
      <c r="J53" s="555">
        <f>'8E 9%'!J63</f>
        <v>4240</v>
      </c>
      <c r="K53" s="556">
        <f t="shared" ref="K53:P56" si="10">J53+(J53*$F53)</f>
        <v>4388.3999999999996</v>
      </c>
      <c r="L53" s="556">
        <f t="shared" si="10"/>
        <v>4541.9939999999997</v>
      </c>
      <c r="M53" s="556">
        <f t="shared" si="10"/>
        <v>4700.9637899999998</v>
      </c>
      <c r="N53" s="556">
        <f t="shared" si="10"/>
        <v>4865.4975226500001</v>
      </c>
      <c r="O53" s="556">
        <f t="shared" si="10"/>
        <v>5035.7899359427502</v>
      </c>
      <c r="P53" s="557">
        <f t="shared" si="10"/>
        <v>5212.042583700746</v>
      </c>
      <c r="Q53" s="559"/>
    </row>
    <row r="54" spans="2:17" x14ac:dyDescent="0.25">
      <c r="B54" s="517"/>
      <c r="C54" s="551" t="s">
        <v>445</v>
      </c>
      <c r="D54" s="553"/>
      <c r="E54" s="553"/>
      <c r="F54" s="1670">
        <v>3.5000000000000003E-2</v>
      </c>
      <c r="G54" s="1347"/>
      <c r="H54" s="554"/>
      <c r="I54" s="467">
        <f>IFERROR(J54/'1B - 4%'!$L$23,"")</f>
        <v>82.8125</v>
      </c>
      <c r="J54" s="555">
        <f>'8E 9%'!J64</f>
        <v>6625</v>
      </c>
      <c r="K54" s="556">
        <f t="shared" si="10"/>
        <v>6856.875</v>
      </c>
      <c r="L54" s="556">
        <f t="shared" si="10"/>
        <v>7096.8656250000004</v>
      </c>
      <c r="M54" s="556">
        <f t="shared" si="10"/>
        <v>7345.2559218750002</v>
      </c>
      <c r="N54" s="556">
        <f t="shared" si="10"/>
        <v>7602.3398791406253</v>
      </c>
      <c r="O54" s="556">
        <f t="shared" si="10"/>
        <v>7868.4217749105474</v>
      </c>
      <c r="P54" s="557">
        <f t="shared" si="10"/>
        <v>8143.8165370324168</v>
      </c>
      <c r="Q54" s="516"/>
    </row>
    <row r="55" spans="2:17" x14ac:dyDescent="0.25">
      <c r="B55" s="517"/>
      <c r="C55" s="551" t="s">
        <v>446</v>
      </c>
      <c r="D55" s="553"/>
      <c r="E55" s="553"/>
      <c r="F55" s="1670">
        <v>3.5000000000000003E-2</v>
      </c>
      <c r="G55" s="1347"/>
      <c r="H55" s="554"/>
      <c r="I55" s="467">
        <f>IFERROR(J55/'1B - 4%'!$L$23,"")</f>
        <v>22.412500000000001</v>
      </c>
      <c r="J55" s="555">
        <v>1793</v>
      </c>
      <c r="K55" s="556">
        <f t="shared" si="10"/>
        <v>1855.7550000000001</v>
      </c>
      <c r="L55" s="556">
        <f t="shared" si="10"/>
        <v>1920.7064250000001</v>
      </c>
      <c r="M55" s="556">
        <f t="shared" si="10"/>
        <v>1987.9311498750001</v>
      </c>
      <c r="N55" s="556">
        <f t="shared" si="10"/>
        <v>2057.5087401206251</v>
      </c>
      <c r="O55" s="556">
        <f t="shared" si="10"/>
        <v>2129.5215460248469</v>
      </c>
      <c r="P55" s="557">
        <f t="shared" si="10"/>
        <v>2204.0548001357165</v>
      </c>
      <c r="Q55" s="516"/>
    </row>
    <row r="56" spans="2:17" ht="15.75" thickBot="1" x14ac:dyDescent="0.3">
      <c r="B56" s="517"/>
      <c r="C56" s="560" t="s">
        <v>247</v>
      </c>
      <c r="D56" s="561"/>
      <c r="E56" s="562"/>
      <c r="F56" s="1671">
        <v>3.5000000000000003E-2</v>
      </c>
      <c r="G56" s="1347"/>
      <c r="H56" s="554"/>
      <c r="I56" s="468">
        <f>IFERROR(J56/'1B - 4%'!$L$23,"")</f>
        <v>457.85</v>
      </c>
      <c r="J56" s="563">
        <f>'8E 9%'!J66</f>
        <v>36628</v>
      </c>
      <c r="K56" s="564">
        <f t="shared" si="10"/>
        <v>37909.980000000003</v>
      </c>
      <c r="L56" s="564">
        <f t="shared" si="10"/>
        <v>39236.829300000005</v>
      </c>
      <c r="M56" s="564">
        <f>L56+(L56*$F56)</f>
        <v>40610.118325500007</v>
      </c>
      <c r="N56" s="564">
        <f t="shared" si="10"/>
        <v>42031.472466892505</v>
      </c>
      <c r="O56" s="564">
        <f t="shared" si="10"/>
        <v>43502.574003233742</v>
      </c>
      <c r="P56" s="565">
        <f t="shared" si="10"/>
        <v>45025.164093346924</v>
      </c>
      <c r="Q56" s="516"/>
    </row>
    <row r="57" spans="2:17" ht="15.75" thickBot="1" x14ac:dyDescent="0.3">
      <c r="B57" s="517"/>
      <c r="C57" s="475" t="s">
        <v>447</v>
      </c>
      <c r="D57" s="532"/>
      <c r="E57" s="515"/>
      <c r="F57" s="533"/>
      <c r="G57" s="533"/>
      <c r="H57" s="515"/>
      <c r="I57" s="468">
        <f>IFERROR(J57/'1B - 4%'!$L$23,"")</f>
        <v>3118.2624999999998</v>
      </c>
      <c r="J57" s="469">
        <f>SUM(J36:J56)</f>
        <v>249461</v>
      </c>
      <c r="K57" s="470">
        <f t="shared" ref="K57:P57" si="11">SUM(K36:K56)</f>
        <v>258007</v>
      </c>
      <c r="L57" s="470">
        <f t="shared" si="11"/>
        <v>266850.00575000001</v>
      </c>
      <c r="M57" s="470">
        <f t="shared" si="11"/>
        <v>276000.46081000002</v>
      </c>
      <c r="N57" s="470">
        <f t="shared" si="11"/>
        <v>285469.17951216875</v>
      </c>
      <c r="O57" s="470">
        <f t="shared" si="11"/>
        <v>295267.36023060279</v>
      </c>
      <c r="P57" s="471">
        <f t="shared" si="11"/>
        <v>305406.59912930767</v>
      </c>
      <c r="Q57" s="516"/>
    </row>
    <row r="58" spans="2:17" ht="15.75" thickBot="1" x14ac:dyDescent="0.3">
      <c r="B58" s="517"/>
      <c r="C58" s="475"/>
      <c r="D58" s="532"/>
      <c r="E58" s="515"/>
      <c r="F58" s="541" t="s">
        <v>412</v>
      </c>
      <c r="G58" s="542"/>
      <c r="H58" s="518"/>
      <c r="I58" s="518"/>
      <c r="J58" s="472"/>
      <c r="K58" s="473"/>
      <c r="L58" s="473"/>
      <c r="M58" s="473"/>
      <c r="N58" s="473"/>
      <c r="O58" s="473"/>
      <c r="P58" s="474"/>
      <c r="Q58" s="516"/>
    </row>
    <row r="59" spans="2:17" x14ac:dyDescent="0.25">
      <c r="B59" s="550"/>
      <c r="C59" s="566" t="s">
        <v>448</v>
      </c>
      <c r="D59" s="567"/>
      <c r="E59" s="546"/>
      <c r="F59" s="1659">
        <v>3.5000000000000003E-2</v>
      </c>
      <c r="G59" s="1348"/>
      <c r="H59" s="546"/>
      <c r="I59" s="466">
        <f>IFERROR(J59/'1B - 4%'!$L$23,"")</f>
        <v>231.875</v>
      </c>
      <c r="J59" s="568">
        <f>'8E 9%'!J69</f>
        <v>18550</v>
      </c>
      <c r="K59" s="556">
        <f t="shared" ref="K59:P60" si="12">J59+(J59*$F59)</f>
        <v>19199.25</v>
      </c>
      <c r="L59" s="556">
        <f t="shared" si="12"/>
        <v>19871.223750000001</v>
      </c>
      <c r="M59" s="556">
        <f t="shared" si="12"/>
        <v>20566.716581250002</v>
      </c>
      <c r="N59" s="556">
        <f t="shared" si="12"/>
        <v>21286.551661593752</v>
      </c>
      <c r="O59" s="556">
        <f t="shared" si="12"/>
        <v>22031.580969749535</v>
      </c>
      <c r="P59" s="557">
        <f t="shared" si="12"/>
        <v>22802.686303690767</v>
      </c>
      <c r="Q59" s="516"/>
    </row>
    <row r="60" spans="2:17" ht="15.75" thickBot="1" x14ac:dyDescent="0.3">
      <c r="B60" s="550"/>
      <c r="C60" s="569" t="s">
        <v>449</v>
      </c>
      <c r="D60" s="561"/>
      <c r="E60" s="562"/>
      <c r="F60" s="1672">
        <v>3.5000000000000003E-2</v>
      </c>
      <c r="G60" s="1347"/>
      <c r="H60" s="554"/>
      <c r="I60" s="468">
        <f>IFERROR(J60/'1B - 4%'!$L$23,"")</f>
        <v>0</v>
      </c>
      <c r="J60" s="789">
        <f>'8E 9%'!J70</f>
        <v>0</v>
      </c>
      <c r="K60" s="564">
        <f t="shared" si="12"/>
        <v>0</v>
      </c>
      <c r="L60" s="564">
        <f t="shared" si="12"/>
        <v>0</v>
      </c>
      <c r="M60" s="564">
        <f t="shared" si="12"/>
        <v>0</v>
      </c>
      <c r="N60" s="564">
        <f t="shared" si="12"/>
        <v>0</v>
      </c>
      <c r="O60" s="564">
        <f t="shared" si="12"/>
        <v>0</v>
      </c>
      <c r="P60" s="565">
        <f t="shared" si="12"/>
        <v>0</v>
      </c>
      <c r="Q60" s="516"/>
    </row>
    <row r="61" spans="2:17" x14ac:dyDescent="0.25">
      <c r="B61" s="550"/>
      <c r="C61" s="475" t="s">
        <v>450</v>
      </c>
      <c r="D61" s="532"/>
      <c r="E61" s="532"/>
      <c r="F61" s="532"/>
      <c r="G61" s="532"/>
      <c r="H61" s="515"/>
      <c r="I61" s="570">
        <f>IFERROR(J61/'1B - 4%'!$L$23,"")</f>
        <v>231.875</v>
      </c>
      <c r="J61" s="469">
        <f>SUM(J59:J60)</f>
        <v>18550</v>
      </c>
      <c r="K61" s="470">
        <f t="shared" ref="K61:P61" si="13">SUM(K59:K60)</f>
        <v>19199.25</v>
      </c>
      <c r="L61" s="470">
        <f t="shared" si="13"/>
        <v>19871.223750000001</v>
      </c>
      <c r="M61" s="470">
        <f t="shared" si="13"/>
        <v>20566.716581250002</v>
      </c>
      <c r="N61" s="470">
        <f t="shared" si="13"/>
        <v>21286.551661593752</v>
      </c>
      <c r="O61" s="470">
        <f t="shared" si="13"/>
        <v>22031.580969749535</v>
      </c>
      <c r="P61" s="471">
        <f t="shared" si="13"/>
        <v>22802.686303690767</v>
      </c>
      <c r="Q61" s="516"/>
    </row>
    <row r="62" spans="2:17" ht="7.5" customHeight="1" thickBot="1" x14ac:dyDescent="0.3">
      <c r="B62" s="550"/>
      <c r="C62" s="475"/>
      <c r="D62" s="532"/>
      <c r="E62" s="532"/>
      <c r="F62" s="532"/>
      <c r="G62" s="532"/>
      <c r="H62" s="515"/>
      <c r="I62" s="570"/>
      <c r="J62" s="472"/>
      <c r="K62" s="473"/>
      <c r="L62" s="473"/>
      <c r="M62" s="473"/>
      <c r="N62" s="473"/>
      <c r="O62" s="473"/>
      <c r="P62" s="474"/>
      <c r="Q62" s="516"/>
    </row>
    <row r="63" spans="2:17" ht="15.75" thickBot="1" x14ac:dyDescent="0.3">
      <c r="B63" s="517"/>
      <c r="C63" s="475" t="s">
        <v>451</v>
      </c>
      <c r="D63" s="532"/>
      <c r="E63" s="339"/>
      <c r="F63" s="1673">
        <v>3.5000000000000003E-2</v>
      </c>
      <c r="G63" s="1349"/>
      <c r="H63" s="546"/>
      <c r="I63" s="1378">
        <f>IFERROR(J63/'1B - 4%'!$L$23,"")</f>
        <v>0</v>
      </c>
      <c r="J63" s="2050">
        <v>0</v>
      </c>
      <c r="K63" s="571">
        <f>J63+(J63*$F63)</f>
        <v>0</v>
      </c>
      <c r="L63" s="571">
        <f t="shared" ref="L63:P65" si="14">K63+(K63*$F63)</f>
        <v>0</v>
      </c>
      <c r="M63" s="571">
        <f t="shared" si="14"/>
        <v>0</v>
      </c>
      <c r="N63" s="571">
        <f t="shared" si="14"/>
        <v>0</v>
      </c>
      <c r="O63" s="571">
        <f t="shared" si="14"/>
        <v>0</v>
      </c>
      <c r="P63" s="572">
        <f t="shared" si="14"/>
        <v>0</v>
      </c>
      <c r="Q63" s="516"/>
    </row>
    <row r="64" spans="2:17" ht="7.5" customHeight="1" thickBot="1" x14ac:dyDescent="0.3">
      <c r="B64" s="517"/>
      <c r="C64" s="475"/>
      <c r="D64" s="532"/>
      <c r="E64" s="339"/>
      <c r="F64" s="532"/>
      <c r="G64" s="532"/>
      <c r="H64" s="515"/>
      <c r="I64" s="570"/>
      <c r="J64" s="472"/>
      <c r="K64" s="473"/>
      <c r="L64" s="473"/>
      <c r="M64" s="473"/>
      <c r="N64" s="473"/>
      <c r="O64" s="473"/>
      <c r="P64" s="474"/>
      <c r="Q64" s="516"/>
    </row>
    <row r="65" spans="2:17" ht="15.75" thickBot="1" x14ac:dyDescent="0.3">
      <c r="B65" s="517"/>
      <c r="C65" s="573" t="s">
        <v>452</v>
      </c>
      <c r="D65" s="535"/>
      <c r="E65" s="535"/>
      <c r="F65" s="1674">
        <v>0</v>
      </c>
      <c r="G65" s="1350"/>
      <c r="H65" s="574"/>
      <c r="I65" s="535"/>
      <c r="J65" s="1675">
        <f>'8E 9%'!J75</f>
        <v>0</v>
      </c>
      <c r="K65" s="1676">
        <f>J65+(J65*$F65)</f>
        <v>0</v>
      </c>
      <c r="L65" s="1676">
        <f t="shared" si="14"/>
        <v>0</v>
      </c>
      <c r="M65" s="1676">
        <f t="shared" si="14"/>
        <v>0</v>
      </c>
      <c r="N65" s="1676">
        <f t="shared" si="14"/>
        <v>0</v>
      </c>
      <c r="O65" s="1676">
        <f t="shared" si="14"/>
        <v>0</v>
      </c>
      <c r="P65" s="1677">
        <f t="shared" si="14"/>
        <v>0</v>
      </c>
      <c r="Q65" s="516"/>
    </row>
    <row r="66" spans="2:17" ht="16.5" thickTop="1" thickBot="1" x14ac:dyDescent="0.3">
      <c r="B66" s="517"/>
      <c r="C66" s="540" t="s">
        <v>453</v>
      </c>
      <c r="D66" s="532"/>
      <c r="E66" s="515"/>
      <c r="F66" s="532"/>
      <c r="G66" s="532"/>
      <c r="H66" s="575"/>
      <c r="I66" s="533" t="s">
        <v>416</v>
      </c>
      <c r="J66" s="476">
        <f>J57+J61+J63+J65</f>
        <v>268011</v>
      </c>
      <c r="K66" s="477">
        <f t="shared" ref="K66:P66" si="15">K57+K61+K63+K65</f>
        <v>277206.25</v>
      </c>
      <c r="L66" s="477">
        <f t="shared" si="15"/>
        <v>286721.22950000002</v>
      </c>
      <c r="M66" s="477">
        <f t="shared" si="15"/>
        <v>296567.17739125004</v>
      </c>
      <c r="N66" s="477">
        <f t="shared" si="15"/>
        <v>306755.73117376247</v>
      </c>
      <c r="O66" s="477">
        <f t="shared" si="15"/>
        <v>317298.94120035233</v>
      </c>
      <c r="P66" s="478">
        <f t="shared" si="15"/>
        <v>328209.28543299844</v>
      </c>
      <c r="Q66" s="516"/>
    </row>
    <row r="67" spans="2:17" ht="7.5" customHeight="1" thickBot="1" x14ac:dyDescent="0.3">
      <c r="B67" s="517"/>
      <c r="C67" s="532"/>
      <c r="D67" s="532"/>
      <c r="E67" s="532"/>
      <c r="F67" s="532"/>
      <c r="G67" s="532"/>
      <c r="H67" s="532"/>
      <c r="I67" s="532"/>
      <c r="J67" s="576"/>
      <c r="K67" s="576"/>
      <c r="L67" s="576"/>
      <c r="M67" s="576"/>
      <c r="N67" s="576"/>
      <c r="O67" s="576"/>
      <c r="P67" s="576"/>
      <c r="Q67" s="516"/>
    </row>
    <row r="68" spans="2:17" ht="15.75" thickBot="1" x14ac:dyDescent="0.3">
      <c r="B68" s="517"/>
      <c r="C68" s="540" t="s">
        <v>454</v>
      </c>
      <c r="D68" s="532"/>
      <c r="E68" s="532"/>
      <c r="F68" s="532"/>
      <c r="G68" s="532"/>
      <c r="H68" s="532"/>
      <c r="I68" s="533" t="s">
        <v>416</v>
      </c>
      <c r="J68" s="479">
        <f>J32-J66</f>
        <v>92574.799999999988</v>
      </c>
      <c r="K68" s="480">
        <f t="shared" ref="K68:P68" si="16">K32-K66</f>
        <v>92394.194999999949</v>
      </c>
      <c r="L68" s="480">
        <f t="shared" si="16"/>
        <v>92119.226624999952</v>
      </c>
      <c r="M68" s="480">
        <f t="shared" si="16"/>
        <v>91744.290136875003</v>
      </c>
      <c r="N68" s="480">
        <f t="shared" si="16"/>
        <v>91263.523042565677</v>
      </c>
      <c r="O68" s="480">
        <f t="shared" si="16"/>
        <v>90670.794371384021</v>
      </c>
      <c r="P68" s="481">
        <f t="shared" si="16"/>
        <v>89959.69352803129</v>
      </c>
      <c r="Q68" s="516"/>
    </row>
    <row r="69" spans="2:17" x14ac:dyDescent="0.25">
      <c r="B69" s="517"/>
      <c r="C69" s="540"/>
      <c r="D69" s="532"/>
      <c r="E69" s="532"/>
      <c r="F69" s="532"/>
      <c r="G69" s="532"/>
      <c r="H69" s="532"/>
      <c r="I69" s="533"/>
      <c r="J69" s="570"/>
      <c r="K69" s="570"/>
      <c r="L69" s="570"/>
      <c r="M69" s="570"/>
      <c r="N69" s="570"/>
      <c r="O69" s="570"/>
      <c r="P69" s="570"/>
      <c r="Q69" s="516"/>
    </row>
    <row r="70" spans="2:17" ht="15.75" thickBot="1" x14ac:dyDescent="0.3">
      <c r="B70" s="394"/>
      <c r="C70" s="2473" t="s">
        <v>455</v>
      </c>
      <c r="D70" s="2473"/>
      <c r="E70" s="2473"/>
      <c r="F70" s="482"/>
      <c r="G70" s="482"/>
      <c r="H70" s="482"/>
      <c r="I70" s="482"/>
      <c r="J70" s="482"/>
      <c r="K70" s="482"/>
      <c r="L70" s="482"/>
      <c r="M70" s="1351"/>
      <c r="N70" s="1351"/>
      <c r="O70" s="1351"/>
      <c r="P70" s="1351"/>
      <c r="Q70" s="944"/>
    </row>
    <row r="71" spans="2:17" ht="15.75" thickBot="1" x14ac:dyDescent="0.3">
      <c r="B71" s="394"/>
      <c r="C71" s="699" t="s">
        <v>456</v>
      </c>
      <c r="D71" s="942"/>
      <c r="E71" s="1208"/>
      <c r="F71" s="1208"/>
      <c r="G71" s="1208"/>
      <c r="H71" s="2474" t="s">
        <v>457</v>
      </c>
      <c r="I71" s="2475"/>
      <c r="J71" s="446" t="s">
        <v>404</v>
      </c>
      <c r="K71" s="447" t="s">
        <v>405</v>
      </c>
      <c r="L71" s="447" t="s">
        <v>406</v>
      </c>
      <c r="M71" s="447" t="s">
        <v>407</v>
      </c>
      <c r="N71" s="447" t="s">
        <v>408</v>
      </c>
      <c r="O71" s="447" t="s">
        <v>409</v>
      </c>
      <c r="P71" s="448" t="s">
        <v>410</v>
      </c>
      <c r="Q71" s="944"/>
    </row>
    <row r="72" spans="2:17" x14ac:dyDescent="0.25">
      <c r="B72" s="394"/>
      <c r="C72" s="2523" t="s">
        <v>1589</v>
      </c>
      <c r="D72" s="2524"/>
      <c r="E72" s="2524"/>
      <c r="F72" s="2524"/>
      <c r="G72" s="2525"/>
      <c r="H72" s="2517">
        <v>1088276</v>
      </c>
      <c r="I72" s="2518"/>
      <c r="J72" s="1678">
        <v>68005</v>
      </c>
      <c r="K72" s="1679">
        <f>J72</f>
        <v>68005</v>
      </c>
      <c r="L72" s="1679">
        <f>K72</f>
        <v>68005</v>
      </c>
      <c r="M72" s="1679">
        <f t="shared" ref="M72:P72" si="17">L72</f>
        <v>68005</v>
      </c>
      <c r="N72" s="1679">
        <f t="shared" si="17"/>
        <v>68005</v>
      </c>
      <c r="O72" s="1679">
        <f t="shared" si="17"/>
        <v>68005</v>
      </c>
      <c r="P72" s="1680">
        <f t="shared" si="17"/>
        <v>68005</v>
      </c>
      <c r="Q72" s="944"/>
    </row>
    <row r="73" spans="2:17" x14ac:dyDescent="0.25">
      <c r="B73" s="394"/>
      <c r="C73" s="2532"/>
      <c r="D73" s="2533"/>
      <c r="E73" s="2533"/>
      <c r="F73" s="2533"/>
      <c r="G73" s="2534"/>
      <c r="H73" s="2519">
        <v>0</v>
      </c>
      <c r="I73" s="2520"/>
      <c r="J73" s="1681">
        <v>0</v>
      </c>
      <c r="K73" s="1682">
        <v>0</v>
      </c>
      <c r="L73" s="1682">
        <v>0</v>
      </c>
      <c r="M73" s="1682">
        <v>0</v>
      </c>
      <c r="N73" s="1682">
        <v>0</v>
      </c>
      <c r="O73" s="1682">
        <v>0</v>
      </c>
      <c r="P73" s="1683">
        <v>0</v>
      </c>
      <c r="Q73" s="944"/>
    </row>
    <row r="74" spans="2:17" ht="15.75" thickBot="1" x14ac:dyDescent="0.3">
      <c r="B74" s="394"/>
      <c r="C74" s="2529"/>
      <c r="D74" s="2530"/>
      <c r="E74" s="2530"/>
      <c r="F74" s="2530"/>
      <c r="G74" s="2531"/>
      <c r="H74" s="2521">
        <v>0</v>
      </c>
      <c r="I74" s="2522"/>
      <c r="J74" s="1684">
        <v>0</v>
      </c>
      <c r="K74" s="1685">
        <v>0</v>
      </c>
      <c r="L74" s="1685">
        <v>0</v>
      </c>
      <c r="M74" s="1685">
        <v>0</v>
      </c>
      <c r="N74" s="1685">
        <v>0</v>
      </c>
      <c r="O74" s="1685">
        <v>0</v>
      </c>
      <c r="P74" s="1686">
        <v>0</v>
      </c>
      <c r="Q74" s="944"/>
    </row>
    <row r="75" spans="2:17" ht="15.75" thickTop="1" x14ac:dyDescent="0.25">
      <c r="B75" s="394"/>
      <c r="C75" s="1352"/>
      <c r="D75" s="1352"/>
      <c r="E75" s="1352"/>
      <c r="F75" s="1352"/>
      <c r="G75" s="1352"/>
      <c r="H75" s="1353"/>
      <c r="I75" s="1354" t="s">
        <v>461</v>
      </c>
      <c r="J75" s="483">
        <f>SUM(J72:J74)</f>
        <v>68005</v>
      </c>
      <c r="K75" s="484">
        <f t="shared" ref="K75:P75" si="18">SUM(K72:K74)</f>
        <v>68005</v>
      </c>
      <c r="L75" s="484">
        <f t="shared" si="18"/>
        <v>68005</v>
      </c>
      <c r="M75" s="484">
        <f t="shared" si="18"/>
        <v>68005</v>
      </c>
      <c r="N75" s="484">
        <f t="shared" si="18"/>
        <v>68005</v>
      </c>
      <c r="O75" s="484">
        <f t="shared" si="18"/>
        <v>68005</v>
      </c>
      <c r="P75" s="485">
        <f t="shared" si="18"/>
        <v>68005</v>
      </c>
      <c r="Q75" s="944"/>
    </row>
    <row r="76" spans="2:17" x14ac:dyDescent="0.25">
      <c r="B76" s="394"/>
      <c r="C76" s="1352"/>
      <c r="D76" s="1352"/>
      <c r="E76" s="1352"/>
      <c r="F76" s="1208"/>
      <c r="G76" s="1208"/>
      <c r="H76" s="1804"/>
      <c r="I76" s="1804" t="s">
        <v>462</v>
      </c>
      <c r="J76" s="2071">
        <f>IFERROR(J68/J75,"$0 ")</f>
        <v>1.3612940224983456</v>
      </c>
      <c r="K76" s="2072">
        <f t="shared" ref="K76:P76" si="19">IFERROR(K68/K75,"$0 ")</f>
        <v>1.3586382618925072</v>
      </c>
      <c r="L76" s="2072">
        <f t="shared" si="19"/>
        <v>1.3545949066245122</v>
      </c>
      <c r="M76" s="2072">
        <f t="shared" si="19"/>
        <v>1.3490815401349165</v>
      </c>
      <c r="N76" s="2072">
        <f t="shared" si="19"/>
        <v>1.3420119556292285</v>
      </c>
      <c r="O76" s="2072">
        <f t="shared" si="19"/>
        <v>1.3332959984028236</v>
      </c>
      <c r="P76" s="2076">
        <f t="shared" si="19"/>
        <v>1.3228394019267891</v>
      </c>
      <c r="Q76" s="944"/>
    </row>
    <row r="77" spans="2:17" ht="15.75" thickBot="1" x14ac:dyDescent="0.3">
      <c r="B77" s="394"/>
      <c r="C77" s="1352"/>
      <c r="D77" s="1352"/>
      <c r="E77" s="1352"/>
      <c r="F77" s="2491" t="s">
        <v>463</v>
      </c>
      <c r="G77" s="2491"/>
      <c r="H77" s="2491"/>
      <c r="I77" s="2492"/>
      <c r="J77" s="486">
        <f>J68-J75</f>
        <v>24569.799999999988</v>
      </c>
      <c r="K77" s="487">
        <f t="shared" ref="K77:P77" si="20">K68-K75</f>
        <v>24389.194999999949</v>
      </c>
      <c r="L77" s="487">
        <f t="shared" si="20"/>
        <v>24114.226624999952</v>
      </c>
      <c r="M77" s="487">
        <f>M68-M75</f>
        <v>23739.290136875003</v>
      </c>
      <c r="N77" s="487">
        <f t="shared" si="20"/>
        <v>23258.523042565677</v>
      </c>
      <c r="O77" s="487">
        <f t="shared" si="20"/>
        <v>22665.794371384021</v>
      </c>
      <c r="P77" s="488">
        <f t="shared" si="20"/>
        <v>21954.69352803129</v>
      </c>
      <c r="Q77" s="944"/>
    </row>
    <row r="78" spans="2:17" ht="15" customHeight="1" thickBot="1" x14ac:dyDescent="0.3">
      <c r="B78" s="394"/>
      <c r="C78" s="1352"/>
      <c r="D78" s="1352"/>
      <c r="E78" s="1352"/>
      <c r="F78" s="1352"/>
      <c r="G78" s="1352"/>
      <c r="H78" s="1353"/>
      <c r="I78" s="1353"/>
      <c r="J78" s="1355"/>
      <c r="K78" s="1355"/>
      <c r="L78" s="1355"/>
      <c r="M78" s="1355"/>
      <c r="N78" s="1355"/>
      <c r="O78" s="1355"/>
      <c r="P78" s="1355"/>
      <c r="Q78" s="944"/>
    </row>
    <row r="79" spans="2:17" ht="15.75" thickBot="1" x14ac:dyDescent="0.3">
      <c r="B79" s="394"/>
      <c r="C79" s="699" t="s">
        <v>464</v>
      </c>
      <c r="D79" s="942"/>
      <c r="E79" s="1208"/>
      <c r="F79" s="1208"/>
      <c r="G79" s="1208"/>
      <c r="H79" s="2474" t="s">
        <v>457</v>
      </c>
      <c r="I79" s="2475"/>
      <c r="J79" s="446" t="s">
        <v>404</v>
      </c>
      <c r="K79" s="447" t="s">
        <v>405</v>
      </c>
      <c r="L79" s="447" t="s">
        <v>406</v>
      </c>
      <c r="M79" s="447" t="s">
        <v>407</v>
      </c>
      <c r="N79" s="447" t="s">
        <v>408</v>
      </c>
      <c r="O79" s="447" t="s">
        <v>409</v>
      </c>
      <c r="P79" s="448" t="s">
        <v>410</v>
      </c>
      <c r="Q79" s="944"/>
    </row>
    <row r="80" spans="2:17" x14ac:dyDescent="0.25">
      <c r="B80" s="394"/>
      <c r="C80" s="2523" t="s">
        <v>1611</v>
      </c>
      <c r="D80" s="2524"/>
      <c r="E80" s="2524"/>
      <c r="F80" s="2524"/>
      <c r="G80" s="2525"/>
      <c r="H80" s="2517">
        <v>500000</v>
      </c>
      <c r="I80" s="2518"/>
      <c r="J80" s="1678">
        <v>0</v>
      </c>
      <c r="K80" s="1679">
        <v>0</v>
      </c>
      <c r="L80" s="1679">
        <v>0</v>
      </c>
      <c r="M80" s="1679">
        <v>0</v>
      </c>
      <c r="N80" s="1679">
        <v>0</v>
      </c>
      <c r="O80" s="1679">
        <v>0</v>
      </c>
      <c r="P80" s="1680">
        <v>0</v>
      </c>
      <c r="Q80" s="944"/>
    </row>
    <row r="81" spans="2:17" x14ac:dyDescent="0.25">
      <c r="B81" s="394"/>
      <c r="C81" s="2526" t="s">
        <v>1590</v>
      </c>
      <c r="D81" s="2527"/>
      <c r="E81" s="2527"/>
      <c r="F81" s="2527"/>
      <c r="G81" s="2528"/>
      <c r="H81" s="2519">
        <v>2500000</v>
      </c>
      <c r="I81" s="2520"/>
      <c r="J81" s="1681">
        <v>0</v>
      </c>
      <c r="K81" s="1682">
        <v>0</v>
      </c>
      <c r="L81" s="1682">
        <v>0</v>
      </c>
      <c r="M81" s="1682">
        <v>0</v>
      </c>
      <c r="N81" s="1682">
        <v>0</v>
      </c>
      <c r="O81" s="1682">
        <v>0</v>
      </c>
      <c r="P81" s="1683">
        <v>0</v>
      </c>
      <c r="Q81" s="944"/>
    </row>
    <row r="82" spans="2:17" x14ac:dyDescent="0.25">
      <c r="B82" s="394"/>
      <c r="C82" s="2526" t="s">
        <v>1588</v>
      </c>
      <c r="D82" s="2527"/>
      <c r="E82" s="2527"/>
      <c r="F82" s="2527"/>
      <c r="G82" s="2528"/>
      <c r="H82" s="2519">
        <v>790000</v>
      </c>
      <c r="I82" s="2520"/>
      <c r="J82" s="1687">
        <v>0</v>
      </c>
      <c r="K82" s="1688">
        <v>0</v>
      </c>
      <c r="L82" s="1688">
        <v>0</v>
      </c>
      <c r="M82" s="1688">
        <v>0</v>
      </c>
      <c r="N82" s="1688">
        <v>0</v>
      </c>
      <c r="O82" s="1688">
        <v>0</v>
      </c>
      <c r="P82" s="1689">
        <v>0</v>
      </c>
      <c r="Q82" s="944"/>
    </row>
    <row r="83" spans="2:17" ht="15.75" thickBot="1" x14ac:dyDescent="0.3">
      <c r="B83" s="394"/>
      <c r="C83" s="2529" t="s">
        <v>460</v>
      </c>
      <c r="D83" s="2530"/>
      <c r="E83" s="2530"/>
      <c r="F83" s="2530"/>
      <c r="G83" s="2531"/>
      <c r="H83" s="2521">
        <v>0</v>
      </c>
      <c r="I83" s="2522"/>
      <c r="J83" s="1690">
        <v>0</v>
      </c>
      <c r="K83" s="1691">
        <v>0</v>
      </c>
      <c r="L83" s="1691">
        <v>0</v>
      </c>
      <c r="M83" s="1691">
        <v>0</v>
      </c>
      <c r="N83" s="1691">
        <v>0</v>
      </c>
      <c r="O83" s="1691">
        <v>0</v>
      </c>
      <c r="P83" s="1692">
        <v>0</v>
      </c>
      <c r="Q83" s="944"/>
    </row>
    <row r="84" spans="2:17" ht="16.5" thickTop="1" thickBot="1" x14ac:dyDescent="0.3">
      <c r="B84" s="394"/>
      <c r="C84" s="1208"/>
      <c r="D84" s="1208"/>
      <c r="E84" s="1208"/>
      <c r="F84" s="2491" t="s">
        <v>465</v>
      </c>
      <c r="G84" s="2491"/>
      <c r="H84" s="2491"/>
      <c r="I84" s="2492"/>
      <c r="J84" s="489">
        <f>SUM(J80:J83)</f>
        <v>0</v>
      </c>
      <c r="K84" s="490">
        <f t="shared" ref="K84:P84" si="21">SUM(K80:K83)</f>
        <v>0</v>
      </c>
      <c r="L84" s="490">
        <f t="shared" si="21"/>
        <v>0</v>
      </c>
      <c r="M84" s="490">
        <f t="shared" si="21"/>
        <v>0</v>
      </c>
      <c r="N84" s="490">
        <f t="shared" si="21"/>
        <v>0</v>
      </c>
      <c r="O84" s="490">
        <f t="shared" si="21"/>
        <v>0</v>
      </c>
      <c r="P84" s="491">
        <f t="shared" si="21"/>
        <v>0</v>
      </c>
      <c r="Q84" s="944"/>
    </row>
    <row r="85" spans="2:17" ht="7.5" customHeight="1" thickBot="1" x14ac:dyDescent="0.3">
      <c r="B85" s="394"/>
      <c r="C85" s="1208"/>
      <c r="D85" s="1208"/>
      <c r="E85" s="1208"/>
      <c r="F85" s="1208"/>
      <c r="G85" s="1208"/>
      <c r="H85" s="1208"/>
      <c r="I85" s="1208"/>
      <c r="J85" s="1208"/>
      <c r="K85" s="1208"/>
      <c r="L85" s="1208"/>
      <c r="M85" s="1208"/>
      <c r="N85" s="1208"/>
      <c r="O85" s="1208"/>
      <c r="P85" s="1208"/>
      <c r="Q85" s="944"/>
    </row>
    <row r="86" spans="2:17" x14ac:dyDescent="0.25">
      <c r="B86" s="394"/>
      <c r="C86" s="1208"/>
      <c r="D86" s="1208"/>
      <c r="E86" s="1208"/>
      <c r="F86" s="2491" t="s">
        <v>466</v>
      </c>
      <c r="G86" s="2491"/>
      <c r="H86" s="2491"/>
      <c r="I86" s="2492"/>
      <c r="J86" s="2073">
        <f>IFERROR(J68/(J75+J84),"$0 ")</f>
        <v>1.3612940224983456</v>
      </c>
      <c r="K86" s="2074">
        <f t="shared" ref="K86:P86" si="22">IFERROR(K68/(K75+K84),"$0 ")</f>
        <v>1.3586382618925072</v>
      </c>
      <c r="L86" s="2074">
        <f t="shared" si="22"/>
        <v>1.3545949066245122</v>
      </c>
      <c r="M86" s="2074">
        <f t="shared" si="22"/>
        <v>1.3490815401349165</v>
      </c>
      <c r="N86" s="2074">
        <f t="shared" si="22"/>
        <v>1.3420119556292285</v>
      </c>
      <c r="O86" s="2074">
        <f t="shared" si="22"/>
        <v>1.3332959984028236</v>
      </c>
      <c r="P86" s="2075">
        <f t="shared" si="22"/>
        <v>1.3228394019267891</v>
      </c>
      <c r="Q86" s="944"/>
    </row>
    <row r="87" spans="2:17" ht="15.75" thickBot="1" x14ac:dyDescent="0.3">
      <c r="B87" s="394"/>
      <c r="C87" s="1208"/>
      <c r="D87" s="1208"/>
      <c r="E87" s="1208"/>
      <c r="F87" s="2491" t="s">
        <v>467</v>
      </c>
      <c r="G87" s="2491"/>
      <c r="H87" s="2493"/>
      <c r="I87" s="2494"/>
      <c r="J87" s="1356">
        <f t="shared" ref="J87:P87" si="23">J77-J84</f>
        <v>24569.799999999988</v>
      </c>
      <c r="K87" s="1357">
        <f t="shared" si="23"/>
        <v>24389.194999999949</v>
      </c>
      <c r="L87" s="1358">
        <f t="shared" si="23"/>
        <v>24114.226624999952</v>
      </c>
      <c r="M87" s="1358">
        <f t="shared" si="23"/>
        <v>23739.290136875003</v>
      </c>
      <c r="N87" s="1358">
        <f t="shared" si="23"/>
        <v>23258.523042565677</v>
      </c>
      <c r="O87" s="1358">
        <f t="shared" si="23"/>
        <v>22665.794371384021</v>
      </c>
      <c r="P87" s="1359">
        <f t="shared" si="23"/>
        <v>21954.69352803129</v>
      </c>
      <c r="Q87" s="944"/>
    </row>
    <row r="88" spans="2:17" ht="9" customHeight="1" thickBot="1" x14ac:dyDescent="0.3">
      <c r="B88" s="1307"/>
      <c r="C88" s="360"/>
      <c r="D88" s="577"/>
      <c r="E88" s="360"/>
      <c r="F88" s="360"/>
      <c r="G88" s="360"/>
      <c r="H88" s="360"/>
      <c r="I88" s="360"/>
      <c r="J88" s="360"/>
      <c r="K88" s="360"/>
      <c r="L88" s="360"/>
      <c r="M88" s="360"/>
      <c r="N88" s="360"/>
      <c r="O88" s="360"/>
      <c r="P88" s="360"/>
      <c r="Q88" s="361"/>
    </row>
    <row r="89" spans="2:17" ht="9" customHeight="1" x14ac:dyDescent="0.25">
      <c r="B89" s="511"/>
      <c r="C89" s="512"/>
      <c r="D89" s="512"/>
      <c r="E89" s="512"/>
      <c r="F89" s="512"/>
      <c r="G89" s="512"/>
      <c r="H89" s="512"/>
      <c r="I89" s="512"/>
      <c r="J89" s="512"/>
      <c r="K89" s="512"/>
      <c r="L89" s="512"/>
      <c r="M89" s="512"/>
      <c r="N89" s="512"/>
      <c r="O89" s="512"/>
      <c r="P89" s="512"/>
      <c r="Q89" s="513"/>
    </row>
    <row r="90" spans="2:17" ht="18.75" x14ac:dyDescent="0.3">
      <c r="B90" s="514"/>
      <c r="C90" s="2225" t="s">
        <v>1068</v>
      </c>
      <c r="D90" s="2225"/>
      <c r="E90" s="2225"/>
      <c r="F90" s="2225"/>
      <c r="G90" s="2225"/>
      <c r="H90" s="2225"/>
      <c r="I90" s="2225"/>
      <c r="J90" s="2225"/>
      <c r="K90" s="2225"/>
      <c r="L90" s="2225"/>
      <c r="M90" s="2225"/>
      <c r="N90" s="2225"/>
      <c r="O90" s="2225"/>
      <c r="P90" s="2225"/>
      <c r="Q90" s="516"/>
    </row>
    <row r="91" spans="2:17" x14ac:dyDescent="0.25">
      <c r="B91" s="514"/>
      <c r="C91" s="515"/>
      <c r="D91" s="515"/>
      <c r="E91" s="515"/>
      <c r="F91" s="515"/>
      <c r="G91" s="515"/>
      <c r="H91" s="515"/>
      <c r="I91" s="515"/>
      <c r="J91" s="515"/>
      <c r="K91" s="515"/>
      <c r="L91" s="515"/>
      <c r="M91" s="515"/>
      <c r="N91" s="515"/>
      <c r="O91" s="515"/>
      <c r="P91" s="515"/>
      <c r="Q91" s="516"/>
    </row>
    <row r="92" spans="2:17" x14ac:dyDescent="0.25">
      <c r="B92" s="514"/>
      <c r="C92" s="1123" t="s">
        <v>59</v>
      </c>
      <c r="D92" s="1803" t="str">
        <f>IF('1A'!G101="","Enter Project Name on Form 1A",'1A'!G101)</f>
        <v>Enter Project Name on Form 1A</v>
      </c>
      <c r="E92" s="1803"/>
      <c r="F92" s="1803"/>
      <c r="G92" s="1803"/>
      <c r="H92" s="1803"/>
      <c r="I92" s="1803"/>
      <c r="J92" s="1803"/>
      <c r="K92" s="1208"/>
      <c r="L92" s="1208"/>
      <c r="M92" s="1208"/>
      <c r="N92" s="1123"/>
      <c r="O92" s="1123"/>
      <c r="P92" s="1123"/>
      <c r="Q92" s="516"/>
    </row>
    <row r="93" spans="2:17" ht="3.75" customHeight="1" x14ac:dyDescent="0.25">
      <c r="B93" s="514"/>
      <c r="C93" s="1123"/>
      <c r="D93" s="1123"/>
      <c r="E93" s="1123"/>
      <c r="F93" s="1123"/>
      <c r="G93" s="1123"/>
      <c r="H93" s="1123"/>
      <c r="I93" s="1123"/>
      <c r="J93" s="1208"/>
      <c r="K93" s="1208"/>
      <c r="L93" s="1208"/>
      <c r="M93" s="1208"/>
      <c r="N93" s="1123"/>
      <c r="O93" s="1123"/>
      <c r="P93" s="1123"/>
      <c r="Q93" s="516"/>
    </row>
    <row r="94" spans="2:17" x14ac:dyDescent="0.25">
      <c r="B94" s="517"/>
      <c r="C94" s="1123" t="s">
        <v>402</v>
      </c>
      <c r="D94" s="1369" t="str">
        <f>IF(N11=0,"",N11)</f>
        <v/>
      </c>
      <c r="E94" s="518"/>
      <c r="F94" s="518"/>
      <c r="G94" s="518"/>
      <c r="H94" s="518"/>
      <c r="I94" s="518"/>
      <c r="J94" s="519"/>
      <c r="K94" s="519"/>
      <c r="L94" s="519"/>
      <c r="M94" s="519"/>
      <c r="N94" s="519"/>
      <c r="O94" s="520"/>
      <c r="P94" s="519"/>
      <c r="Q94" s="521"/>
    </row>
    <row r="95" spans="2:17" ht="7.5" customHeight="1" x14ac:dyDescent="0.25">
      <c r="B95" s="394"/>
      <c r="C95" s="942"/>
      <c r="D95" s="942"/>
      <c r="E95" s="942"/>
      <c r="F95" s="942"/>
      <c r="G95" s="942"/>
      <c r="H95" s="942"/>
      <c r="I95" s="942"/>
      <c r="J95" s="942"/>
      <c r="K95" s="942"/>
      <c r="L95" s="942"/>
      <c r="M95" s="942"/>
      <c r="N95" s="942"/>
      <c r="O95" s="942"/>
      <c r="P95" s="942"/>
      <c r="Q95" s="944"/>
    </row>
    <row r="96" spans="2:17" ht="15.75" thickBot="1" x14ac:dyDescent="0.3">
      <c r="B96" s="523"/>
      <c r="C96" s="442" t="s">
        <v>403</v>
      </c>
      <c r="D96" s="443"/>
      <c r="E96" s="441"/>
      <c r="F96" s="441"/>
      <c r="G96" s="441"/>
      <c r="H96" s="441"/>
      <c r="I96" s="441"/>
      <c r="J96" s="443"/>
      <c r="K96" s="443"/>
      <c r="L96" s="443"/>
      <c r="M96" s="443"/>
      <c r="N96" s="443"/>
      <c r="O96" s="445"/>
      <c r="P96" s="443"/>
      <c r="Q96" s="525"/>
    </row>
    <row r="97" spans="2:17" ht="15.75" thickBot="1" x14ac:dyDescent="0.3">
      <c r="B97" s="394"/>
      <c r="C97" s="532"/>
      <c r="D97" s="1208"/>
      <c r="E97" s="1208"/>
      <c r="F97" s="1208"/>
      <c r="G97" s="1208"/>
      <c r="H97" s="1208"/>
      <c r="I97" s="492" t="s">
        <v>468</v>
      </c>
      <c r="J97" s="493" t="s">
        <v>469</v>
      </c>
      <c r="K97" s="447" t="s">
        <v>470</v>
      </c>
      <c r="L97" s="447" t="s">
        <v>471</v>
      </c>
      <c r="M97" s="447" t="s">
        <v>472</v>
      </c>
      <c r="N97" s="447" t="s">
        <v>473</v>
      </c>
      <c r="O97" s="447" t="s">
        <v>474</v>
      </c>
      <c r="P97" s="448" t="s">
        <v>475</v>
      </c>
      <c r="Q97" s="944"/>
    </row>
    <row r="98" spans="2:17" x14ac:dyDescent="0.25">
      <c r="B98" s="394"/>
      <c r="C98" s="524" t="s">
        <v>411</v>
      </c>
      <c r="D98" s="1208"/>
      <c r="E98" s="1208"/>
      <c r="F98" s="1208"/>
      <c r="G98" s="1208"/>
      <c r="H98" s="1208"/>
      <c r="I98" s="450"/>
      <c r="J98" s="451"/>
      <c r="K98" s="451"/>
      <c r="L98" s="451"/>
      <c r="M98" s="451"/>
      <c r="N98" s="451"/>
      <c r="O98" s="451"/>
      <c r="P98" s="452"/>
      <c r="Q98" s="944"/>
    </row>
    <row r="99" spans="2:17" x14ac:dyDescent="0.25">
      <c r="B99" s="394"/>
      <c r="C99" s="578" t="s">
        <v>413</v>
      </c>
      <c r="D99" s="1208"/>
      <c r="E99" s="1208"/>
      <c r="F99" s="1208"/>
      <c r="G99" s="1208"/>
      <c r="H99" s="1208"/>
      <c r="I99" s="568">
        <f>P18+(P18*$H18)</f>
        <v>438582.25041643844</v>
      </c>
      <c r="J99" s="579">
        <f>I99+(I99*$H18)</f>
        <v>449546.80667684943</v>
      </c>
      <c r="K99" s="579">
        <f t="shared" ref="K99:P99" si="24">J99+(J99*$H18)</f>
        <v>460785.47684377065</v>
      </c>
      <c r="L99" s="579">
        <f t="shared" si="24"/>
        <v>472305.11376486492</v>
      </c>
      <c r="M99" s="579">
        <f t="shared" si="24"/>
        <v>484112.74160898651</v>
      </c>
      <c r="N99" s="579">
        <f t="shared" si="24"/>
        <v>496215.5601492112</v>
      </c>
      <c r="O99" s="579">
        <f t="shared" si="24"/>
        <v>508620.94915294147</v>
      </c>
      <c r="P99" s="580">
        <f t="shared" si="24"/>
        <v>521336.47288176499</v>
      </c>
      <c r="Q99" s="944"/>
    </row>
    <row r="100" spans="2:17" x14ac:dyDescent="0.25">
      <c r="B100" s="394"/>
      <c r="C100" s="578" t="s">
        <v>361</v>
      </c>
      <c r="D100" s="1208"/>
      <c r="E100" s="1208"/>
      <c r="F100" s="1208"/>
      <c r="G100" s="1208"/>
      <c r="H100" s="1208"/>
      <c r="I100" s="1375"/>
      <c r="J100" s="1376"/>
      <c r="K100" s="1376"/>
      <c r="L100" s="1376"/>
      <c r="M100" s="1376"/>
      <c r="N100" s="1376"/>
      <c r="O100" s="1376"/>
      <c r="P100" s="1377"/>
      <c r="Q100" s="944"/>
    </row>
    <row r="101" spans="2:17" x14ac:dyDescent="0.25">
      <c r="B101" s="394"/>
      <c r="C101" s="578" t="s">
        <v>371</v>
      </c>
      <c r="D101" s="1208"/>
      <c r="E101" s="1208"/>
      <c r="F101" s="1208"/>
      <c r="G101" s="1208"/>
      <c r="H101" s="1208"/>
      <c r="I101" s="568">
        <v>0</v>
      </c>
      <c r="J101" s="579">
        <v>0</v>
      </c>
      <c r="K101" s="579">
        <v>0</v>
      </c>
      <c r="L101" s="579">
        <v>0</v>
      </c>
      <c r="M101" s="579">
        <v>0</v>
      </c>
      <c r="N101" s="579">
        <v>0</v>
      </c>
      <c r="O101" s="579">
        <v>0</v>
      </c>
      <c r="P101" s="580">
        <v>0</v>
      </c>
      <c r="Q101" s="944"/>
    </row>
    <row r="102" spans="2:17" x14ac:dyDescent="0.25">
      <c r="B102" s="394"/>
      <c r="C102" s="578" t="s">
        <v>476</v>
      </c>
      <c r="D102" s="2506" t="str">
        <f>IF(D21=0,"",D21)</f>
        <v>Laundry</v>
      </c>
      <c r="E102" s="2507"/>
      <c r="F102" s="2507"/>
      <c r="G102" s="591"/>
      <c r="H102" s="532"/>
      <c r="I102" s="568">
        <f>P21+(P21*$H21)</f>
        <v>7875.0431180519108</v>
      </c>
      <c r="J102" s="579">
        <f>I102+(I102*$H21)</f>
        <v>8071.9191960032085</v>
      </c>
      <c r="K102" s="579">
        <f t="shared" ref="K102:P103" si="25">J102+(J102*$H21)</f>
        <v>8273.7171759032881</v>
      </c>
      <c r="L102" s="579">
        <f t="shared" si="25"/>
        <v>8480.5601053008704</v>
      </c>
      <c r="M102" s="579">
        <f t="shared" si="25"/>
        <v>8692.574107933393</v>
      </c>
      <c r="N102" s="579">
        <f t="shared" si="25"/>
        <v>8909.8884606317279</v>
      </c>
      <c r="O102" s="579">
        <f t="shared" si="25"/>
        <v>9132.6356721475204</v>
      </c>
      <c r="P102" s="580">
        <f t="shared" si="25"/>
        <v>9360.9515639512083</v>
      </c>
      <c r="Q102" s="944"/>
    </row>
    <row r="103" spans="2:17" x14ac:dyDescent="0.25">
      <c r="B103" s="394"/>
      <c r="C103" s="560" t="s">
        <v>476</v>
      </c>
      <c r="D103" s="2506" t="str">
        <f>IF(D22=0,"",D22)</f>
        <v>Fees/Interest</v>
      </c>
      <c r="E103" s="2507"/>
      <c r="F103" s="2507"/>
      <c r="G103" s="591"/>
      <c r="H103" s="532"/>
      <c r="I103" s="568">
        <f>P22+(P22*$H22)</f>
        <v>4725.0258708311458</v>
      </c>
      <c r="J103" s="579">
        <f>I103+(I103*$H22)</f>
        <v>4843.1515176019248</v>
      </c>
      <c r="K103" s="579">
        <f t="shared" si="25"/>
        <v>4964.2303055419725</v>
      </c>
      <c r="L103" s="579">
        <f t="shared" si="25"/>
        <v>5088.3360631805217</v>
      </c>
      <c r="M103" s="579">
        <f t="shared" si="25"/>
        <v>5215.5444647600343</v>
      </c>
      <c r="N103" s="579">
        <f t="shared" si="25"/>
        <v>5345.9330763790349</v>
      </c>
      <c r="O103" s="579">
        <f t="shared" si="25"/>
        <v>5479.581403288511</v>
      </c>
      <c r="P103" s="580">
        <f t="shared" si="25"/>
        <v>5616.5709383707235</v>
      </c>
      <c r="Q103" s="944"/>
    </row>
    <row r="104" spans="2:17" x14ac:dyDescent="0.25">
      <c r="B104" s="394"/>
      <c r="C104" s="532" t="s">
        <v>415</v>
      </c>
      <c r="D104" s="1208"/>
      <c r="E104" s="1208"/>
      <c r="F104" s="1208"/>
      <c r="G104" s="1208"/>
      <c r="H104" s="1208"/>
      <c r="I104" s="494">
        <f>SUM(I99:I103)</f>
        <v>451182.3194053215</v>
      </c>
      <c r="J104" s="495">
        <f t="shared" ref="J104:O104" si="26">SUM(J99:J103)</f>
        <v>462461.87739045458</v>
      </c>
      <c r="K104" s="495">
        <f t="shared" si="26"/>
        <v>474023.42432521586</v>
      </c>
      <c r="L104" s="495">
        <f t="shared" si="26"/>
        <v>485874.0099333463</v>
      </c>
      <c r="M104" s="495">
        <f t="shared" si="26"/>
        <v>498020.86018167995</v>
      </c>
      <c r="N104" s="495">
        <f t="shared" si="26"/>
        <v>510471.38168622192</v>
      </c>
      <c r="O104" s="495">
        <f t="shared" si="26"/>
        <v>523233.16622837749</v>
      </c>
      <c r="P104" s="496">
        <f>SUM(P99:P103)</f>
        <v>536313.99538408697</v>
      </c>
      <c r="Q104" s="944"/>
    </row>
    <row r="105" spans="2:17" x14ac:dyDescent="0.25">
      <c r="B105" s="394"/>
      <c r="C105" s="532"/>
      <c r="D105" s="1208"/>
      <c r="E105" s="1208"/>
      <c r="F105" s="1208"/>
      <c r="G105" s="1208"/>
      <c r="H105" s="1208"/>
      <c r="I105" s="497"/>
      <c r="J105" s="498"/>
      <c r="K105" s="498"/>
      <c r="L105" s="498"/>
      <c r="M105" s="498"/>
      <c r="N105" s="498"/>
      <c r="O105" s="498"/>
      <c r="P105" s="499"/>
      <c r="Q105" s="944"/>
    </row>
    <row r="106" spans="2:17" x14ac:dyDescent="0.25">
      <c r="B106" s="394"/>
      <c r="C106" s="532" t="s">
        <v>417</v>
      </c>
      <c r="D106" s="1208"/>
      <c r="E106" s="1208"/>
      <c r="F106" s="1208"/>
      <c r="G106" s="1208"/>
      <c r="H106" s="1208"/>
      <c r="I106" s="1693">
        <v>0</v>
      </c>
      <c r="J106" s="1694">
        <v>0</v>
      </c>
      <c r="K106" s="1694">
        <v>0</v>
      </c>
      <c r="L106" s="1694">
        <v>0</v>
      </c>
      <c r="M106" s="1694">
        <v>0</v>
      </c>
      <c r="N106" s="1694">
        <v>0</v>
      </c>
      <c r="O106" s="1694">
        <v>0</v>
      </c>
      <c r="P106" s="1695">
        <v>0</v>
      </c>
      <c r="Q106" s="944"/>
    </row>
    <row r="107" spans="2:17" x14ac:dyDescent="0.25">
      <c r="B107" s="394"/>
      <c r="C107" s="532"/>
      <c r="D107" s="1208"/>
      <c r="E107" s="1208"/>
      <c r="F107" s="1208"/>
      <c r="G107" s="1208"/>
      <c r="H107" s="1208"/>
      <c r="I107" s="497"/>
      <c r="J107" s="498"/>
      <c r="K107" s="498"/>
      <c r="L107" s="498"/>
      <c r="M107" s="498"/>
      <c r="N107" s="498"/>
      <c r="O107" s="498"/>
      <c r="P107" s="499"/>
      <c r="Q107" s="944"/>
    </row>
    <row r="108" spans="2:17" ht="15.75" thickBot="1" x14ac:dyDescent="0.3">
      <c r="B108" s="394"/>
      <c r="C108" s="535" t="s">
        <v>418</v>
      </c>
      <c r="D108" s="1336"/>
      <c r="E108" s="1336"/>
      <c r="F108" s="1336"/>
      <c r="G108" s="1336"/>
      <c r="H108" s="1336"/>
      <c r="I108" s="1696">
        <v>0</v>
      </c>
      <c r="J108" s="1697">
        <v>0</v>
      </c>
      <c r="K108" s="1697">
        <v>0</v>
      </c>
      <c r="L108" s="1697">
        <v>0</v>
      </c>
      <c r="M108" s="1697">
        <v>0</v>
      </c>
      <c r="N108" s="1697">
        <v>0</v>
      </c>
      <c r="O108" s="1697">
        <v>0</v>
      </c>
      <c r="P108" s="1698">
        <v>0</v>
      </c>
      <c r="Q108" s="944"/>
    </row>
    <row r="109" spans="2:17" ht="15.75" thickTop="1" x14ac:dyDescent="0.25">
      <c r="B109" s="394"/>
      <c r="C109" s="524" t="s">
        <v>419</v>
      </c>
      <c r="D109" s="1208"/>
      <c r="E109" s="1208"/>
      <c r="F109" s="1208"/>
      <c r="G109" s="1208"/>
      <c r="H109" s="1208"/>
      <c r="I109" s="500">
        <f>I104+I106+I108</f>
        <v>451182.3194053215</v>
      </c>
      <c r="J109" s="501">
        <f t="shared" ref="J109:O109" si="27">J104+J106+J108</f>
        <v>462461.87739045458</v>
      </c>
      <c r="K109" s="501">
        <f t="shared" si="27"/>
        <v>474023.42432521586</v>
      </c>
      <c r="L109" s="501">
        <f t="shared" si="27"/>
        <v>485874.0099333463</v>
      </c>
      <c r="M109" s="501">
        <f t="shared" si="27"/>
        <v>498020.86018167995</v>
      </c>
      <c r="N109" s="501">
        <f t="shared" si="27"/>
        <v>510471.38168622192</v>
      </c>
      <c r="O109" s="501">
        <f t="shared" si="27"/>
        <v>523233.16622837749</v>
      </c>
      <c r="P109" s="502">
        <f>P104+P106+P108</f>
        <v>536313.99538408697</v>
      </c>
      <c r="Q109" s="944"/>
    </row>
    <row r="110" spans="2:17" x14ac:dyDescent="0.25">
      <c r="B110" s="394"/>
      <c r="C110" s="524"/>
      <c r="D110" s="1208"/>
      <c r="E110" s="1208"/>
      <c r="F110" s="1208"/>
      <c r="G110" s="1208"/>
      <c r="H110" s="1208"/>
      <c r="I110" s="497"/>
      <c r="J110" s="498"/>
      <c r="K110" s="498"/>
      <c r="L110" s="498"/>
      <c r="M110" s="498"/>
      <c r="N110" s="498"/>
      <c r="O110" s="498"/>
      <c r="P110" s="499"/>
      <c r="Q110" s="944"/>
    </row>
    <row r="111" spans="2:17" x14ac:dyDescent="0.25">
      <c r="B111" s="394"/>
      <c r="C111" s="581" t="s">
        <v>477</v>
      </c>
      <c r="D111" s="1208"/>
      <c r="E111" s="1208"/>
      <c r="F111" s="1208"/>
      <c r="G111" s="1208"/>
      <c r="H111" s="1208"/>
      <c r="I111" s="1360">
        <f>-I104*$H30</f>
        <v>-22559.115970266077</v>
      </c>
      <c r="J111" s="1361">
        <f t="shared" ref="J111:P111" si="28">-J104*$H30</f>
        <v>-23123.093869522731</v>
      </c>
      <c r="K111" s="1361">
        <f t="shared" si="28"/>
        <v>-23701.171216260795</v>
      </c>
      <c r="L111" s="1361">
        <f t="shared" si="28"/>
        <v>-24293.700496667316</v>
      </c>
      <c r="M111" s="1361">
        <f t="shared" si="28"/>
        <v>-24901.043009083998</v>
      </c>
      <c r="N111" s="1361">
        <f t="shared" si="28"/>
        <v>-25523.569084311097</v>
      </c>
      <c r="O111" s="1361">
        <f t="shared" si="28"/>
        <v>-26161.658311418876</v>
      </c>
      <c r="P111" s="1362">
        <f t="shared" si="28"/>
        <v>-26815.699769204351</v>
      </c>
      <c r="Q111" s="944"/>
    </row>
    <row r="112" spans="2:17" ht="15.75" thickBot="1" x14ac:dyDescent="0.3">
      <c r="B112" s="394"/>
      <c r="C112" s="539" t="s">
        <v>478</v>
      </c>
      <c r="D112" s="1336"/>
      <c r="E112" s="1336"/>
      <c r="F112" s="1336"/>
      <c r="G112" s="1336"/>
      <c r="H112" s="1336"/>
      <c r="I112" s="1363">
        <f>-I108*$H31</f>
        <v>0</v>
      </c>
      <c r="J112" s="1364">
        <f>-J108*$H31</f>
        <v>0</v>
      </c>
      <c r="K112" s="1364">
        <f t="shared" ref="K112:P112" si="29">-K108*$H31</f>
        <v>0</v>
      </c>
      <c r="L112" s="1364">
        <f t="shared" si="29"/>
        <v>0</v>
      </c>
      <c r="M112" s="1364">
        <f t="shared" si="29"/>
        <v>0</v>
      </c>
      <c r="N112" s="1364">
        <f t="shared" si="29"/>
        <v>0</v>
      </c>
      <c r="O112" s="1364">
        <f t="shared" si="29"/>
        <v>0</v>
      </c>
      <c r="P112" s="1365">
        <f t="shared" si="29"/>
        <v>0</v>
      </c>
      <c r="Q112" s="944"/>
    </row>
    <row r="113" spans="2:17" ht="16.5" thickTop="1" thickBot="1" x14ac:dyDescent="0.3">
      <c r="B113" s="394"/>
      <c r="C113" s="540" t="s">
        <v>423</v>
      </c>
      <c r="D113" s="1208"/>
      <c r="E113" s="1208"/>
      <c r="F113" s="1208"/>
      <c r="G113" s="1208"/>
      <c r="H113" s="1208"/>
      <c r="I113" s="503">
        <f>I109+I111+I112</f>
        <v>428623.20343505545</v>
      </c>
      <c r="J113" s="504">
        <f t="shared" ref="J113:O113" si="30">J109+J111+J112</f>
        <v>439338.78352093184</v>
      </c>
      <c r="K113" s="505">
        <f t="shared" si="30"/>
        <v>450322.25310895505</v>
      </c>
      <c r="L113" s="505">
        <f t="shared" si="30"/>
        <v>461580.309436679</v>
      </c>
      <c r="M113" s="505">
        <f t="shared" si="30"/>
        <v>473119.81717259594</v>
      </c>
      <c r="N113" s="505">
        <f t="shared" si="30"/>
        <v>484947.81260191085</v>
      </c>
      <c r="O113" s="505">
        <f t="shared" si="30"/>
        <v>497071.5079169586</v>
      </c>
      <c r="P113" s="506">
        <f>P109+P111+P112</f>
        <v>509498.29561488261</v>
      </c>
      <c r="Q113" s="944"/>
    </row>
    <row r="114" spans="2:17" ht="7.5" customHeight="1" x14ac:dyDescent="0.25">
      <c r="B114" s="394"/>
      <c r="C114" s="942"/>
      <c r="D114" s="942"/>
      <c r="E114" s="942"/>
      <c r="F114" s="942"/>
      <c r="G114" s="942"/>
      <c r="H114" s="942"/>
      <c r="I114" s="942"/>
      <c r="J114" s="942"/>
      <c r="K114" s="942"/>
      <c r="L114" s="942"/>
      <c r="M114" s="942"/>
      <c r="N114" s="942"/>
      <c r="O114" s="942"/>
      <c r="P114" s="942"/>
      <c r="Q114" s="944"/>
    </row>
    <row r="115" spans="2:17" ht="15.75" thickBot="1" x14ac:dyDescent="0.3">
      <c r="B115" s="517"/>
      <c r="C115" s="462" t="s">
        <v>424</v>
      </c>
      <c r="D115" s="463"/>
      <c r="E115" s="463"/>
      <c r="F115" s="463"/>
      <c r="G115" s="463"/>
      <c r="H115" s="463"/>
      <c r="I115" s="463"/>
      <c r="J115" s="463"/>
      <c r="K115" s="463"/>
      <c r="L115" s="463"/>
      <c r="M115" s="464"/>
      <c r="N115" s="463"/>
      <c r="O115" s="463"/>
      <c r="P115" s="463"/>
      <c r="Q115" s="521"/>
    </row>
    <row r="116" spans="2:17" ht="15.75" thickBot="1" x14ac:dyDescent="0.3">
      <c r="B116" s="517"/>
      <c r="C116" s="524" t="s">
        <v>425</v>
      </c>
      <c r="D116" s="515"/>
      <c r="E116" s="532"/>
      <c r="F116" s="942"/>
      <c r="G116" s="942"/>
      <c r="H116" s="515"/>
      <c r="I116" s="446" t="s">
        <v>468</v>
      </c>
      <c r="J116" s="446" t="s">
        <v>469</v>
      </c>
      <c r="K116" s="446" t="s">
        <v>470</v>
      </c>
      <c r="L116" s="446" t="s">
        <v>471</v>
      </c>
      <c r="M116" s="446" t="s">
        <v>472</v>
      </c>
      <c r="N116" s="446" t="s">
        <v>473</v>
      </c>
      <c r="O116" s="446" t="s">
        <v>474</v>
      </c>
      <c r="P116" s="492" t="s">
        <v>475</v>
      </c>
      <c r="Q116" s="516"/>
    </row>
    <row r="117" spans="2:17" x14ac:dyDescent="0.25">
      <c r="B117" s="517"/>
      <c r="C117" s="543" t="s">
        <v>427</v>
      </c>
      <c r="D117" s="544"/>
      <c r="E117" s="545"/>
      <c r="F117" s="544"/>
      <c r="G117" s="544"/>
      <c r="H117" s="545"/>
      <c r="I117" s="547">
        <f t="shared" ref="I117:I137" si="31">P36+($F36*P36)</f>
        <v>81011.109777398786</v>
      </c>
      <c r="J117" s="548">
        <f t="shared" ref="J117:P132" si="32">I117+(I117*$F36)</f>
        <v>83846.498619607737</v>
      </c>
      <c r="K117" s="548">
        <f t="shared" si="32"/>
        <v>86781.126071294013</v>
      </c>
      <c r="L117" s="548">
        <f t="shared" si="32"/>
        <v>89818.465483789303</v>
      </c>
      <c r="M117" s="548">
        <f t="shared" si="32"/>
        <v>92962.111775721933</v>
      </c>
      <c r="N117" s="548">
        <f t="shared" si="32"/>
        <v>96215.785687872194</v>
      </c>
      <c r="O117" s="548">
        <f t="shared" si="32"/>
        <v>99583.338186947716</v>
      </c>
      <c r="P117" s="549">
        <f t="shared" si="32"/>
        <v>103068.75502349088</v>
      </c>
      <c r="Q117" s="516"/>
    </row>
    <row r="118" spans="2:17" x14ac:dyDescent="0.25">
      <c r="B118" s="517"/>
      <c r="C118" s="551" t="s">
        <v>428</v>
      </c>
      <c r="D118" s="552"/>
      <c r="E118" s="553"/>
      <c r="F118" s="552"/>
      <c r="G118" s="552"/>
      <c r="H118" s="553"/>
      <c r="I118" s="555">
        <f t="shared" si="31"/>
        <v>42009.34322038832</v>
      </c>
      <c r="J118" s="556">
        <f t="shared" si="32"/>
        <v>43059.57680089803</v>
      </c>
      <c r="K118" s="556">
        <f t="shared" si="32"/>
        <v>44136.066220920482</v>
      </c>
      <c r="L118" s="556">
        <f t="shared" si="32"/>
        <v>45239.467876443494</v>
      </c>
      <c r="M118" s="556">
        <f t="shared" si="32"/>
        <v>46370.454573354582</v>
      </c>
      <c r="N118" s="556">
        <f t="shared" si="32"/>
        <v>47529.715937688445</v>
      </c>
      <c r="O118" s="556">
        <f t="shared" si="32"/>
        <v>48717.958836130652</v>
      </c>
      <c r="P118" s="557">
        <f t="shared" si="32"/>
        <v>49935.907807033916</v>
      </c>
      <c r="Q118" s="516"/>
    </row>
    <row r="119" spans="2:17" x14ac:dyDescent="0.25">
      <c r="B119" s="517"/>
      <c r="C119" s="551" t="s">
        <v>429</v>
      </c>
      <c r="D119" s="552"/>
      <c r="E119" s="553"/>
      <c r="F119" s="552"/>
      <c r="G119" s="552"/>
      <c r="H119" s="553"/>
      <c r="I119" s="555">
        <f t="shared" si="31"/>
        <v>10814.373733515878</v>
      </c>
      <c r="J119" s="556">
        <f t="shared" si="32"/>
        <v>11192.876814188934</v>
      </c>
      <c r="K119" s="556">
        <f t="shared" si="32"/>
        <v>11584.627502685547</v>
      </c>
      <c r="L119" s="556">
        <f t="shared" si="32"/>
        <v>11990.089465279541</v>
      </c>
      <c r="M119" s="556">
        <f t="shared" si="32"/>
        <v>12409.742596564325</v>
      </c>
      <c r="N119" s="556">
        <f t="shared" si="32"/>
        <v>12844.083587444076</v>
      </c>
      <c r="O119" s="556">
        <f t="shared" si="32"/>
        <v>13293.626513004619</v>
      </c>
      <c r="P119" s="557">
        <f t="shared" si="32"/>
        <v>13758.903440959781</v>
      </c>
      <c r="Q119" s="516"/>
    </row>
    <row r="120" spans="2:17" x14ac:dyDescent="0.25">
      <c r="B120" s="517"/>
      <c r="C120" s="551" t="s">
        <v>430</v>
      </c>
      <c r="D120" s="553"/>
      <c r="E120" s="552"/>
      <c r="F120" s="582"/>
      <c r="G120" s="582"/>
      <c r="H120" s="553"/>
      <c r="I120" s="555">
        <f t="shared" si="31"/>
        <v>1348.616018532568</v>
      </c>
      <c r="J120" s="556">
        <f t="shared" si="32"/>
        <v>1395.8175791812077</v>
      </c>
      <c r="K120" s="556">
        <f t="shared" si="32"/>
        <v>1444.67119445255</v>
      </c>
      <c r="L120" s="556">
        <f t="shared" si="32"/>
        <v>1495.2346862583893</v>
      </c>
      <c r="M120" s="556">
        <f t="shared" si="32"/>
        <v>1547.567900277433</v>
      </c>
      <c r="N120" s="556">
        <f t="shared" si="32"/>
        <v>1601.7327767871432</v>
      </c>
      <c r="O120" s="556">
        <f t="shared" si="32"/>
        <v>1657.7934239746933</v>
      </c>
      <c r="P120" s="557">
        <f t="shared" si="32"/>
        <v>1715.8161938138076</v>
      </c>
      <c r="Q120" s="516"/>
    </row>
    <row r="121" spans="2:17" x14ac:dyDescent="0.25">
      <c r="B121" s="517"/>
      <c r="C121" s="551" t="s">
        <v>431</v>
      </c>
      <c r="D121" s="552"/>
      <c r="E121" s="553"/>
      <c r="F121" s="552"/>
      <c r="G121" s="552"/>
      <c r="H121" s="553"/>
      <c r="I121" s="555">
        <f t="shared" si="31"/>
        <v>20229.240277988523</v>
      </c>
      <c r="J121" s="556">
        <f t="shared" si="32"/>
        <v>20937.263687718121</v>
      </c>
      <c r="K121" s="556">
        <f t="shared" si="32"/>
        <v>21670.067916788255</v>
      </c>
      <c r="L121" s="556">
        <f t="shared" si="32"/>
        <v>22428.520293875845</v>
      </c>
      <c r="M121" s="556">
        <f t="shared" si="32"/>
        <v>23213.5185041615</v>
      </c>
      <c r="N121" s="556">
        <f t="shared" si="32"/>
        <v>24025.991651807151</v>
      </c>
      <c r="O121" s="556">
        <f t="shared" si="32"/>
        <v>24866.901359620402</v>
      </c>
      <c r="P121" s="557">
        <f t="shared" si="32"/>
        <v>25737.242907207117</v>
      </c>
      <c r="Q121" s="516"/>
    </row>
    <row r="122" spans="2:17" x14ac:dyDescent="0.25">
      <c r="B122" s="517"/>
      <c r="C122" s="551" t="s">
        <v>432</v>
      </c>
      <c r="D122" s="552"/>
      <c r="E122" s="553"/>
      <c r="F122" s="583"/>
      <c r="G122" s="583"/>
      <c r="H122" s="553"/>
      <c r="I122" s="555">
        <f t="shared" si="31"/>
        <v>1165.4078046941816</v>
      </c>
      <c r="J122" s="556">
        <f t="shared" si="32"/>
        <v>1206.197077858478</v>
      </c>
      <c r="K122" s="556">
        <f t="shared" si="32"/>
        <v>1248.4139755835247</v>
      </c>
      <c r="L122" s="556">
        <f t="shared" si="32"/>
        <v>1292.1084647289481</v>
      </c>
      <c r="M122" s="556">
        <f t="shared" si="32"/>
        <v>1337.3322609944612</v>
      </c>
      <c r="N122" s="556">
        <f t="shared" si="32"/>
        <v>1384.1388901292673</v>
      </c>
      <c r="O122" s="556">
        <f t="shared" si="32"/>
        <v>1432.5837512837918</v>
      </c>
      <c r="P122" s="557">
        <f t="shared" si="32"/>
        <v>1482.7241825787246</v>
      </c>
      <c r="Q122" s="516"/>
    </row>
    <row r="123" spans="2:17" x14ac:dyDescent="0.25">
      <c r="B123" s="517"/>
      <c r="C123" s="551" t="s">
        <v>433</v>
      </c>
      <c r="D123" s="552"/>
      <c r="E123" s="553"/>
      <c r="F123" s="552"/>
      <c r="G123" s="552"/>
      <c r="H123" s="553"/>
      <c r="I123" s="555">
        <f t="shared" si="31"/>
        <v>608.14948760242225</v>
      </c>
      <c r="J123" s="556">
        <f t="shared" si="32"/>
        <v>629.434719668507</v>
      </c>
      <c r="K123" s="556">
        <f t="shared" si="32"/>
        <v>651.46493485690473</v>
      </c>
      <c r="L123" s="556">
        <f t="shared" si="32"/>
        <v>674.26620757689636</v>
      </c>
      <c r="M123" s="556">
        <f t="shared" si="32"/>
        <v>697.86552484208778</v>
      </c>
      <c r="N123" s="556">
        <f t="shared" si="32"/>
        <v>722.2908182115608</v>
      </c>
      <c r="O123" s="556">
        <f t="shared" si="32"/>
        <v>747.57099684896548</v>
      </c>
      <c r="P123" s="557">
        <f t="shared" si="32"/>
        <v>773.73598173867924</v>
      </c>
      <c r="Q123" s="516"/>
    </row>
    <row r="124" spans="2:17" x14ac:dyDescent="0.25">
      <c r="B124" s="517"/>
      <c r="C124" s="551" t="s">
        <v>434</v>
      </c>
      <c r="D124" s="553"/>
      <c r="E124" s="552"/>
      <c r="F124" s="582"/>
      <c r="G124" s="582"/>
      <c r="H124" s="553"/>
      <c r="I124" s="555">
        <f t="shared" si="31"/>
        <v>0</v>
      </c>
      <c r="J124" s="556">
        <f t="shared" si="32"/>
        <v>0</v>
      </c>
      <c r="K124" s="556">
        <f t="shared" si="32"/>
        <v>0</v>
      </c>
      <c r="L124" s="556">
        <f t="shared" si="32"/>
        <v>0</v>
      </c>
      <c r="M124" s="556">
        <f t="shared" si="32"/>
        <v>0</v>
      </c>
      <c r="N124" s="556">
        <f t="shared" si="32"/>
        <v>0</v>
      </c>
      <c r="O124" s="556">
        <f t="shared" si="32"/>
        <v>0</v>
      </c>
      <c r="P124" s="557">
        <f t="shared" si="32"/>
        <v>0</v>
      </c>
      <c r="Q124" s="516"/>
    </row>
    <row r="125" spans="2:17" x14ac:dyDescent="0.25">
      <c r="B125" s="517"/>
      <c r="C125" s="551" t="s">
        <v>435</v>
      </c>
      <c r="D125" s="552"/>
      <c r="E125" s="553"/>
      <c r="F125" s="552"/>
      <c r="G125" s="552"/>
      <c r="H125" s="553"/>
      <c r="I125" s="555">
        <f t="shared" si="31"/>
        <v>6068.7720833965559</v>
      </c>
      <c r="J125" s="556">
        <f t="shared" si="32"/>
        <v>6281.1791063154351</v>
      </c>
      <c r="K125" s="556">
        <f t="shared" si="32"/>
        <v>6501.0203750364753</v>
      </c>
      <c r="L125" s="556">
        <f t="shared" si="32"/>
        <v>6728.5560881627516</v>
      </c>
      <c r="M125" s="556">
        <f t="shared" si="32"/>
        <v>6964.055551248448</v>
      </c>
      <c r="N125" s="556">
        <f t="shared" si="32"/>
        <v>7207.7974955421432</v>
      </c>
      <c r="O125" s="556">
        <f t="shared" si="32"/>
        <v>7460.0704078861181</v>
      </c>
      <c r="P125" s="557">
        <f t="shared" si="32"/>
        <v>7721.1728721621321</v>
      </c>
      <c r="Q125" s="516"/>
    </row>
    <row r="126" spans="2:17" x14ac:dyDescent="0.25">
      <c r="B126" s="517"/>
      <c r="C126" s="551" t="s">
        <v>436</v>
      </c>
      <c r="D126" s="553"/>
      <c r="E126" s="553"/>
      <c r="F126" s="553"/>
      <c r="G126" s="553"/>
      <c r="H126" s="553"/>
      <c r="I126" s="555">
        <f t="shared" si="31"/>
        <v>13486.160185325682</v>
      </c>
      <c r="J126" s="556">
        <f t="shared" si="32"/>
        <v>13958.17579181208</v>
      </c>
      <c r="K126" s="556">
        <f t="shared" si="32"/>
        <v>14446.711944525503</v>
      </c>
      <c r="L126" s="556">
        <f t="shared" si="32"/>
        <v>14952.346862583896</v>
      </c>
      <c r="M126" s="556">
        <f t="shared" si="32"/>
        <v>15475.679002774332</v>
      </c>
      <c r="N126" s="556">
        <f t="shared" si="32"/>
        <v>16017.327767871433</v>
      </c>
      <c r="O126" s="556">
        <f t="shared" si="32"/>
        <v>16577.934239746934</v>
      </c>
      <c r="P126" s="557">
        <f t="shared" si="32"/>
        <v>17158.161938138077</v>
      </c>
      <c r="Q126" s="516"/>
    </row>
    <row r="127" spans="2:17" x14ac:dyDescent="0.25">
      <c r="B127" s="517"/>
      <c r="C127" s="551" t="s">
        <v>437</v>
      </c>
      <c r="D127" s="552"/>
      <c r="E127" s="553"/>
      <c r="F127" s="552"/>
      <c r="G127" s="552"/>
      <c r="H127" s="553"/>
      <c r="I127" s="555">
        <f t="shared" si="31"/>
        <v>5664.1872778367861</v>
      </c>
      <c r="J127" s="556">
        <f t="shared" si="32"/>
        <v>5862.4338325610734</v>
      </c>
      <c r="K127" s="556">
        <f t="shared" si="32"/>
        <v>6067.6190167007107</v>
      </c>
      <c r="L127" s="556">
        <f t="shared" si="32"/>
        <v>6279.9856822852353</v>
      </c>
      <c r="M127" s="556">
        <f t="shared" si="32"/>
        <v>6499.7851811652181</v>
      </c>
      <c r="N127" s="556">
        <f t="shared" si="32"/>
        <v>6727.2776625060005</v>
      </c>
      <c r="O127" s="556">
        <f t="shared" si="32"/>
        <v>6962.7323806937102</v>
      </c>
      <c r="P127" s="557">
        <f t="shared" si="32"/>
        <v>7206.4280140179899</v>
      </c>
      <c r="Q127" s="516"/>
    </row>
    <row r="128" spans="2:17" x14ac:dyDescent="0.25">
      <c r="B128" s="517"/>
      <c r="C128" s="551" t="s">
        <v>438</v>
      </c>
      <c r="D128" s="553"/>
      <c r="E128" s="553"/>
      <c r="F128" s="553"/>
      <c r="G128" s="553"/>
      <c r="H128" s="553"/>
      <c r="I128" s="555">
        <f t="shared" si="31"/>
        <v>3371.5400463314204</v>
      </c>
      <c r="J128" s="556">
        <f t="shared" si="32"/>
        <v>3489.5439479530201</v>
      </c>
      <c r="K128" s="556">
        <f t="shared" si="32"/>
        <v>3611.6779861313757</v>
      </c>
      <c r="L128" s="556">
        <f t="shared" si="32"/>
        <v>3738.086715645974</v>
      </c>
      <c r="M128" s="556">
        <f t="shared" si="32"/>
        <v>3868.919750693583</v>
      </c>
      <c r="N128" s="556">
        <f t="shared" si="32"/>
        <v>4004.3319419678583</v>
      </c>
      <c r="O128" s="556">
        <f t="shared" si="32"/>
        <v>4144.4835599367334</v>
      </c>
      <c r="P128" s="557">
        <f t="shared" si="32"/>
        <v>4289.5404845345192</v>
      </c>
      <c r="Q128" s="516"/>
    </row>
    <row r="129" spans="2:17" x14ac:dyDescent="0.25">
      <c r="B129" s="517"/>
      <c r="C129" s="551" t="s">
        <v>439</v>
      </c>
      <c r="D129" s="553"/>
      <c r="E129" s="553"/>
      <c r="F129" s="553"/>
      <c r="G129" s="553"/>
      <c r="H129" s="553"/>
      <c r="I129" s="555">
        <f t="shared" si="31"/>
        <v>6743.0800926628408</v>
      </c>
      <c r="J129" s="556">
        <f t="shared" si="32"/>
        <v>6979.0878959060401</v>
      </c>
      <c r="K129" s="556">
        <f t="shared" si="32"/>
        <v>7223.3559722627515</v>
      </c>
      <c r="L129" s="556">
        <f t="shared" si="32"/>
        <v>7476.173431291948</v>
      </c>
      <c r="M129" s="556">
        <f t="shared" si="32"/>
        <v>7737.8395013871659</v>
      </c>
      <c r="N129" s="556">
        <f t="shared" si="32"/>
        <v>8008.6638839357165</v>
      </c>
      <c r="O129" s="556">
        <f t="shared" si="32"/>
        <v>8288.9671198734668</v>
      </c>
      <c r="P129" s="557">
        <f t="shared" si="32"/>
        <v>8579.0809690690385</v>
      </c>
      <c r="Q129" s="516"/>
    </row>
    <row r="130" spans="2:17" x14ac:dyDescent="0.25">
      <c r="B130" s="517"/>
      <c r="C130" s="551" t="s">
        <v>440</v>
      </c>
      <c r="D130" s="553"/>
      <c r="E130" s="553"/>
      <c r="F130" s="553"/>
      <c r="G130" s="553"/>
      <c r="H130" s="553"/>
      <c r="I130" s="555">
        <f t="shared" si="31"/>
        <v>3371.5400463314204</v>
      </c>
      <c r="J130" s="556">
        <f t="shared" si="32"/>
        <v>3489.5439479530201</v>
      </c>
      <c r="K130" s="556">
        <f t="shared" si="32"/>
        <v>3611.6779861313757</v>
      </c>
      <c r="L130" s="556">
        <f t="shared" si="32"/>
        <v>3738.086715645974</v>
      </c>
      <c r="M130" s="556">
        <f t="shared" si="32"/>
        <v>3868.919750693583</v>
      </c>
      <c r="N130" s="556">
        <f t="shared" si="32"/>
        <v>4004.3319419678583</v>
      </c>
      <c r="O130" s="556">
        <f t="shared" si="32"/>
        <v>4144.4835599367334</v>
      </c>
      <c r="P130" s="557">
        <f t="shared" si="32"/>
        <v>4289.5404845345192</v>
      </c>
      <c r="Q130" s="516"/>
    </row>
    <row r="131" spans="2:17" x14ac:dyDescent="0.25">
      <c r="B131" s="517"/>
      <c r="C131" s="551" t="s">
        <v>441</v>
      </c>
      <c r="D131" s="553"/>
      <c r="E131" s="553"/>
      <c r="F131" s="553"/>
      <c r="G131" s="553"/>
      <c r="H131" s="553"/>
      <c r="I131" s="555">
        <f t="shared" si="31"/>
        <v>3573.8324491113053</v>
      </c>
      <c r="J131" s="556">
        <f t="shared" si="32"/>
        <v>3698.9165848302009</v>
      </c>
      <c r="K131" s="556">
        <f t="shared" si="32"/>
        <v>3828.378665299258</v>
      </c>
      <c r="L131" s="556">
        <f t="shared" si="32"/>
        <v>3962.3719185847322</v>
      </c>
      <c r="M131" s="556">
        <f t="shared" si="32"/>
        <v>4101.0549357351974</v>
      </c>
      <c r="N131" s="556">
        <f t="shared" si="32"/>
        <v>4244.5918584859292</v>
      </c>
      <c r="O131" s="556">
        <f t="shared" si="32"/>
        <v>4393.1525735329369</v>
      </c>
      <c r="P131" s="557">
        <f t="shared" si="32"/>
        <v>4546.9129136065894</v>
      </c>
      <c r="Q131" s="516"/>
    </row>
    <row r="132" spans="2:17" x14ac:dyDescent="0.25">
      <c r="B132" s="517"/>
      <c r="C132" s="551" t="s">
        <v>442</v>
      </c>
      <c r="D132" s="552"/>
      <c r="E132" s="553"/>
      <c r="F132" s="552"/>
      <c r="G132" s="552"/>
      <c r="H132" s="553"/>
      <c r="I132" s="555">
        <f t="shared" si="31"/>
        <v>44287.684030182194</v>
      </c>
      <c r="J132" s="556">
        <f t="shared" si="32"/>
        <v>46059.191391389482</v>
      </c>
      <c r="K132" s="556">
        <f t="shared" si="32"/>
        <v>47901.559047045062</v>
      </c>
      <c r="L132" s="556">
        <f t="shared" si="32"/>
        <v>49817.621408926861</v>
      </c>
      <c r="M132" s="556">
        <f t="shared" si="32"/>
        <v>51810.326265283933</v>
      </c>
      <c r="N132" s="556">
        <f t="shared" si="32"/>
        <v>53882.739315895291</v>
      </c>
      <c r="O132" s="556">
        <f t="shared" si="32"/>
        <v>56038.048888531106</v>
      </c>
      <c r="P132" s="557">
        <f t="shared" si="32"/>
        <v>58279.570844072354</v>
      </c>
      <c r="Q132" s="516"/>
    </row>
    <row r="133" spans="2:17" x14ac:dyDescent="0.25">
      <c r="B133" s="517"/>
      <c r="C133" s="551" t="s">
        <v>443</v>
      </c>
      <c r="D133" s="552"/>
      <c r="E133" s="553"/>
      <c r="F133" s="552"/>
      <c r="G133" s="552"/>
      <c r="H133" s="553"/>
      <c r="I133" s="555">
        <f t="shared" si="31"/>
        <v>9440.3121297279758</v>
      </c>
      <c r="J133" s="556">
        <f t="shared" ref="J133:P137" si="33">I133+(I133*$F52)</f>
        <v>9770.7230542684556</v>
      </c>
      <c r="K133" s="556">
        <f t="shared" si="33"/>
        <v>10112.698361167852</v>
      </c>
      <c r="L133" s="556">
        <f t="shared" si="33"/>
        <v>10466.642803808727</v>
      </c>
      <c r="M133" s="556">
        <f t="shared" si="33"/>
        <v>10832.975301942033</v>
      </c>
      <c r="N133" s="556">
        <f t="shared" si="33"/>
        <v>11212.129437510004</v>
      </c>
      <c r="O133" s="556">
        <f t="shared" si="33"/>
        <v>11604.553967822854</v>
      </c>
      <c r="P133" s="557">
        <f t="shared" si="33"/>
        <v>12010.713356696655</v>
      </c>
      <c r="Q133" s="516"/>
    </row>
    <row r="134" spans="2:17" x14ac:dyDescent="0.25">
      <c r="B134" s="517"/>
      <c r="C134" s="551" t="s">
        <v>444</v>
      </c>
      <c r="D134" s="552"/>
      <c r="E134" s="553"/>
      <c r="F134" s="552"/>
      <c r="G134" s="552"/>
      <c r="H134" s="553"/>
      <c r="I134" s="555">
        <f t="shared" si="31"/>
        <v>5394.4640741302719</v>
      </c>
      <c r="J134" s="556">
        <f t="shared" si="33"/>
        <v>5583.270316724831</v>
      </c>
      <c r="K134" s="556">
        <f t="shared" si="33"/>
        <v>5778.6847778102001</v>
      </c>
      <c r="L134" s="556">
        <f t="shared" si="33"/>
        <v>5980.9387450335571</v>
      </c>
      <c r="M134" s="556">
        <f t="shared" si="33"/>
        <v>6190.2716011097318</v>
      </c>
      <c r="N134" s="556">
        <f t="shared" si="33"/>
        <v>6406.9311071485727</v>
      </c>
      <c r="O134" s="556">
        <f t="shared" si="33"/>
        <v>6631.1736958987731</v>
      </c>
      <c r="P134" s="557">
        <f t="shared" si="33"/>
        <v>6863.2647752552302</v>
      </c>
      <c r="Q134" s="516"/>
    </row>
    <row r="135" spans="2:17" x14ac:dyDescent="0.25">
      <c r="B135" s="517"/>
      <c r="C135" s="551" t="s">
        <v>445</v>
      </c>
      <c r="D135" s="553"/>
      <c r="E135" s="553"/>
      <c r="F135" s="553"/>
      <c r="G135" s="553"/>
      <c r="H135" s="553"/>
      <c r="I135" s="555">
        <f t="shared" si="31"/>
        <v>8428.8501158285508</v>
      </c>
      <c r="J135" s="556">
        <f t="shared" si="33"/>
        <v>8723.8598698825499</v>
      </c>
      <c r="K135" s="556">
        <f t="shared" si="33"/>
        <v>9029.1949653284391</v>
      </c>
      <c r="L135" s="556">
        <f t="shared" si="33"/>
        <v>9345.2167891149347</v>
      </c>
      <c r="M135" s="556">
        <f t="shared" si="33"/>
        <v>9672.2993767339576</v>
      </c>
      <c r="N135" s="556">
        <f t="shared" si="33"/>
        <v>10010.829854919646</v>
      </c>
      <c r="O135" s="556">
        <f t="shared" si="33"/>
        <v>10361.208899841833</v>
      </c>
      <c r="P135" s="557">
        <f t="shared" si="33"/>
        <v>10723.851211336298</v>
      </c>
      <c r="Q135" s="516"/>
    </row>
    <row r="136" spans="2:17" x14ac:dyDescent="0.25">
      <c r="B136" s="517"/>
      <c r="C136" s="551" t="s">
        <v>446</v>
      </c>
      <c r="D136" s="553"/>
      <c r="E136" s="553"/>
      <c r="F136" s="553"/>
      <c r="G136" s="553"/>
      <c r="H136" s="553"/>
      <c r="I136" s="555">
        <f t="shared" si="31"/>
        <v>2281.1967181404666</v>
      </c>
      <c r="J136" s="556">
        <f t="shared" si="33"/>
        <v>2361.0386032753831</v>
      </c>
      <c r="K136" s="556">
        <f t="shared" si="33"/>
        <v>2443.6749543900214</v>
      </c>
      <c r="L136" s="556">
        <f t="shared" si="33"/>
        <v>2529.2035777936721</v>
      </c>
      <c r="M136" s="556">
        <f t="shared" si="33"/>
        <v>2617.7257030164506</v>
      </c>
      <c r="N136" s="556">
        <f t="shared" si="33"/>
        <v>2709.3461026220261</v>
      </c>
      <c r="O136" s="556">
        <f t="shared" si="33"/>
        <v>2804.1732162137969</v>
      </c>
      <c r="P136" s="557">
        <f t="shared" si="33"/>
        <v>2902.31927878128</v>
      </c>
      <c r="Q136" s="516"/>
    </row>
    <row r="137" spans="2:17" x14ac:dyDescent="0.25">
      <c r="B137" s="517"/>
      <c r="C137" s="560" t="s">
        <v>247</v>
      </c>
      <c r="D137" s="561"/>
      <c r="E137" s="562"/>
      <c r="F137" s="584"/>
      <c r="G137" s="584"/>
      <c r="H137" s="562"/>
      <c r="I137" s="563">
        <f t="shared" si="31"/>
        <v>46601.04483661407</v>
      </c>
      <c r="J137" s="564">
        <f t="shared" si="33"/>
        <v>48232.081405895566</v>
      </c>
      <c r="K137" s="564">
        <f t="shared" si="33"/>
        <v>49920.204255101911</v>
      </c>
      <c r="L137" s="564">
        <f t="shared" si="33"/>
        <v>51667.411404030478</v>
      </c>
      <c r="M137" s="564">
        <f t="shared" si="33"/>
        <v>53475.770803171545</v>
      </c>
      <c r="N137" s="564">
        <f t="shared" si="33"/>
        <v>55347.422781282548</v>
      </c>
      <c r="O137" s="564">
        <f t="shared" si="33"/>
        <v>57284.582578627436</v>
      </c>
      <c r="P137" s="565">
        <f t="shared" si="33"/>
        <v>59289.542968879396</v>
      </c>
      <c r="Q137" s="516"/>
    </row>
    <row r="138" spans="2:17" x14ac:dyDescent="0.25">
      <c r="B138" s="517"/>
      <c r="C138" s="475" t="s">
        <v>447</v>
      </c>
      <c r="D138" s="532"/>
      <c r="E138" s="515"/>
      <c r="F138" s="533"/>
      <c r="G138" s="533"/>
      <c r="H138" s="515"/>
      <c r="I138" s="469">
        <f>SUM(I117:I137)</f>
        <v>315898.90440574015</v>
      </c>
      <c r="J138" s="470">
        <f t="shared" ref="J138:O138" si="34">SUM(J117:J137)</f>
        <v>326756.71104788815</v>
      </c>
      <c r="K138" s="470">
        <f t="shared" si="34"/>
        <v>337992.89612351224</v>
      </c>
      <c r="L138" s="470">
        <f t="shared" si="34"/>
        <v>349620.79462086118</v>
      </c>
      <c r="M138" s="470">
        <f t="shared" si="34"/>
        <v>361654.21586087148</v>
      </c>
      <c r="N138" s="470">
        <f t="shared" si="34"/>
        <v>374107.46050159488</v>
      </c>
      <c r="O138" s="470">
        <f t="shared" si="34"/>
        <v>386995.33815635333</v>
      </c>
      <c r="P138" s="507">
        <f>SUM(P117:P137)</f>
        <v>400333.18564790703</v>
      </c>
      <c r="Q138" s="516"/>
    </row>
    <row r="139" spans="2:17" ht="7.5" customHeight="1" x14ac:dyDescent="0.25">
      <c r="B139" s="517"/>
      <c r="C139" s="475"/>
      <c r="D139" s="532"/>
      <c r="E139" s="515"/>
      <c r="F139" s="533"/>
      <c r="G139" s="533"/>
      <c r="H139" s="515"/>
      <c r="I139" s="472"/>
      <c r="J139" s="473"/>
      <c r="K139" s="473"/>
      <c r="L139" s="473"/>
      <c r="M139" s="473"/>
      <c r="N139" s="473"/>
      <c r="O139" s="473"/>
      <c r="P139" s="474"/>
      <c r="Q139" s="516"/>
    </row>
    <row r="140" spans="2:17" x14ac:dyDescent="0.25">
      <c r="B140" s="517"/>
      <c r="C140" s="585" t="s">
        <v>448</v>
      </c>
      <c r="D140" s="532"/>
      <c r="E140" s="515"/>
      <c r="F140" s="532"/>
      <c r="G140" s="532"/>
      <c r="H140" s="515"/>
      <c r="I140" s="555">
        <f>P59+($F59*P59)</f>
        <v>23600.780324319945</v>
      </c>
      <c r="J140" s="556">
        <f t="shared" ref="J140:P141" si="35">I140+(I140*$F59)</f>
        <v>24426.807635671143</v>
      </c>
      <c r="K140" s="556">
        <f t="shared" si="35"/>
        <v>25281.745902919632</v>
      </c>
      <c r="L140" s="556">
        <f t="shared" si="35"/>
        <v>26166.60700952182</v>
      </c>
      <c r="M140" s="556">
        <f t="shared" si="35"/>
        <v>27082.438254855086</v>
      </c>
      <c r="N140" s="556">
        <f t="shared" si="35"/>
        <v>28030.323593775014</v>
      </c>
      <c r="O140" s="556">
        <f t="shared" si="35"/>
        <v>29011.384919557138</v>
      </c>
      <c r="P140" s="557">
        <f t="shared" si="35"/>
        <v>30026.783391741639</v>
      </c>
      <c r="Q140" s="516"/>
    </row>
    <row r="141" spans="2:17" x14ac:dyDescent="0.25">
      <c r="B141" s="517"/>
      <c r="C141" s="569" t="s">
        <v>449</v>
      </c>
      <c r="D141" s="561"/>
      <c r="E141" s="562"/>
      <c r="F141" s="561"/>
      <c r="G141" s="561"/>
      <c r="H141" s="562"/>
      <c r="I141" s="563">
        <f>P60+($F60*P60)</f>
        <v>0</v>
      </c>
      <c r="J141" s="564">
        <f t="shared" si="35"/>
        <v>0</v>
      </c>
      <c r="K141" s="564">
        <f t="shared" si="35"/>
        <v>0</v>
      </c>
      <c r="L141" s="564">
        <f t="shared" si="35"/>
        <v>0</v>
      </c>
      <c r="M141" s="564">
        <f t="shared" si="35"/>
        <v>0</v>
      </c>
      <c r="N141" s="564">
        <f t="shared" si="35"/>
        <v>0</v>
      </c>
      <c r="O141" s="564">
        <f t="shared" si="35"/>
        <v>0</v>
      </c>
      <c r="P141" s="565">
        <f t="shared" si="35"/>
        <v>0</v>
      </c>
      <c r="Q141" s="516"/>
    </row>
    <row r="142" spans="2:17" x14ac:dyDescent="0.25">
      <c r="B142" s="517"/>
      <c r="C142" s="475" t="s">
        <v>450</v>
      </c>
      <c r="D142" s="532"/>
      <c r="E142" s="532"/>
      <c r="F142" s="532"/>
      <c r="G142" s="532"/>
      <c r="H142" s="515"/>
      <c r="I142" s="469">
        <f>SUM(I140:I141)</f>
        <v>23600.780324319945</v>
      </c>
      <c r="J142" s="470">
        <f t="shared" ref="J142:P142" si="36">SUM(J140:J141)</f>
        <v>24426.807635671143</v>
      </c>
      <c r="K142" s="470">
        <f t="shared" si="36"/>
        <v>25281.745902919632</v>
      </c>
      <c r="L142" s="470">
        <f t="shared" si="36"/>
        <v>26166.60700952182</v>
      </c>
      <c r="M142" s="470">
        <f t="shared" si="36"/>
        <v>27082.438254855086</v>
      </c>
      <c r="N142" s="470">
        <f t="shared" si="36"/>
        <v>28030.323593775014</v>
      </c>
      <c r="O142" s="470">
        <f t="shared" si="36"/>
        <v>29011.384919557138</v>
      </c>
      <c r="P142" s="471">
        <f t="shared" si="36"/>
        <v>30026.783391741639</v>
      </c>
      <c r="Q142" s="516"/>
    </row>
    <row r="143" spans="2:17" ht="7.5" customHeight="1" x14ac:dyDescent="0.25">
      <c r="B143" s="517"/>
      <c r="C143" s="475"/>
      <c r="D143" s="532"/>
      <c r="E143" s="532"/>
      <c r="F143" s="532"/>
      <c r="G143" s="532"/>
      <c r="H143" s="515"/>
      <c r="I143" s="472"/>
      <c r="J143" s="473"/>
      <c r="K143" s="473"/>
      <c r="L143" s="473"/>
      <c r="M143" s="473"/>
      <c r="N143" s="473"/>
      <c r="O143" s="473"/>
      <c r="P143" s="474"/>
      <c r="Q143" s="516"/>
    </row>
    <row r="144" spans="2:17" x14ac:dyDescent="0.25">
      <c r="B144" s="517"/>
      <c r="C144" s="475" t="s">
        <v>451</v>
      </c>
      <c r="D144" s="532"/>
      <c r="E144" s="339"/>
      <c r="F144" s="532"/>
      <c r="G144" s="532"/>
      <c r="H144" s="515"/>
      <c r="I144" s="586">
        <f>P63+($F63*P63)</f>
        <v>0</v>
      </c>
      <c r="J144" s="587">
        <f t="shared" ref="J144:P144" si="37">I144+(I144*$F63)</f>
        <v>0</v>
      </c>
      <c r="K144" s="587">
        <f t="shared" si="37"/>
        <v>0</v>
      </c>
      <c r="L144" s="587">
        <f t="shared" si="37"/>
        <v>0</v>
      </c>
      <c r="M144" s="587">
        <f t="shared" si="37"/>
        <v>0</v>
      </c>
      <c r="N144" s="587">
        <f t="shared" si="37"/>
        <v>0</v>
      </c>
      <c r="O144" s="587">
        <f t="shared" si="37"/>
        <v>0</v>
      </c>
      <c r="P144" s="588">
        <f t="shared" si="37"/>
        <v>0</v>
      </c>
      <c r="Q144" s="516"/>
    </row>
    <row r="145" spans="2:17" ht="7.5" customHeight="1" x14ac:dyDescent="0.25">
      <c r="B145" s="517"/>
      <c r="C145" s="475"/>
      <c r="D145" s="532"/>
      <c r="E145" s="339"/>
      <c r="F145" s="532"/>
      <c r="G145" s="532"/>
      <c r="H145" s="515"/>
      <c r="I145" s="472"/>
      <c r="J145" s="473"/>
      <c r="K145" s="473"/>
      <c r="L145" s="473"/>
      <c r="M145" s="473"/>
      <c r="N145" s="473"/>
      <c r="O145" s="473"/>
      <c r="P145" s="474"/>
      <c r="Q145" s="516"/>
    </row>
    <row r="146" spans="2:17" ht="15.75" thickBot="1" x14ac:dyDescent="0.3">
      <c r="B146" s="517"/>
      <c r="C146" s="573" t="s">
        <v>452</v>
      </c>
      <c r="D146" s="535"/>
      <c r="E146" s="535"/>
      <c r="F146" s="535"/>
      <c r="G146" s="535"/>
      <c r="H146" s="535"/>
      <c r="I146" s="1675">
        <f>P65+($F65*P65)</f>
        <v>0</v>
      </c>
      <c r="J146" s="1676">
        <f t="shared" ref="J146:P146" si="38">I146+(I146*$F65)</f>
        <v>0</v>
      </c>
      <c r="K146" s="1676">
        <f t="shared" si="38"/>
        <v>0</v>
      </c>
      <c r="L146" s="1676">
        <f t="shared" si="38"/>
        <v>0</v>
      </c>
      <c r="M146" s="1676">
        <f t="shared" si="38"/>
        <v>0</v>
      </c>
      <c r="N146" s="1676">
        <f t="shared" si="38"/>
        <v>0</v>
      </c>
      <c r="O146" s="1676">
        <f t="shared" si="38"/>
        <v>0</v>
      </c>
      <c r="P146" s="1677">
        <f t="shared" si="38"/>
        <v>0</v>
      </c>
      <c r="Q146" s="516"/>
    </row>
    <row r="147" spans="2:17" ht="16.5" thickTop="1" thickBot="1" x14ac:dyDescent="0.3">
      <c r="B147" s="517"/>
      <c r="C147" s="540" t="s">
        <v>453</v>
      </c>
      <c r="D147" s="532"/>
      <c r="E147" s="515"/>
      <c r="F147" s="532"/>
      <c r="G147" s="532"/>
      <c r="H147" s="575"/>
      <c r="I147" s="476">
        <f>I138+I142+I144+I146</f>
        <v>339499.68473006011</v>
      </c>
      <c r="J147" s="477">
        <f t="shared" ref="J147:P147" si="39">J138+J142+J144+J146</f>
        <v>351183.51868355932</v>
      </c>
      <c r="K147" s="477">
        <f t="shared" si="39"/>
        <v>363274.64202643186</v>
      </c>
      <c r="L147" s="477">
        <f t="shared" si="39"/>
        <v>375787.40163038298</v>
      </c>
      <c r="M147" s="477">
        <f t="shared" si="39"/>
        <v>388736.65411572659</v>
      </c>
      <c r="N147" s="477">
        <f t="shared" si="39"/>
        <v>402137.78409536986</v>
      </c>
      <c r="O147" s="477">
        <f t="shared" si="39"/>
        <v>416006.72307591047</v>
      </c>
      <c r="P147" s="478">
        <f t="shared" si="39"/>
        <v>430359.96903964865</v>
      </c>
      <c r="Q147" s="516"/>
    </row>
    <row r="148" spans="2:17" ht="7.5" customHeight="1" thickBot="1" x14ac:dyDescent="0.3">
      <c r="B148" s="517"/>
      <c r="C148" s="532"/>
      <c r="D148" s="532"/>
      <c r="E148" s="532"/>
      <c r="F148" s="532"/>
      <c r="G148" s="532"/>
      <c r="H148" s="532"/>
      <c r="I148" s="576"/>
      <c r="J148" s="576"/>
      <c r="K148" s="576"/>
      <c r="L148" s="576"/>
      <c r="M148" s="576"/>
      <c r="N148" s="576"/>
      <c r="O148" s="576"/>
      <c r="P148" s="576"/>
      <c r="Q148" s="516"/>
    </row>
    <row r="149" spans="2:17" ht="15.75" thickBot="1" x14ac:dyDescent="0.3">
      <c r="B149" s="517"/>
      <c r="C149" s="540" t="s">
        <v>454</v>
      </c>
      <c r="D149" s="532"/>
      <c r="E149" s="532"/>
      <c r="F149" s="532"/>
      <c r="G149" s="532"/>
      <c r="H149" s="532"/>
      <c r="I149" s="479">
        <f>I113-I147</f>
        <v>89123.518704995338</v>
      </c>
      <c r="J149" s="480">
        <f>J113-J147</f>
        <v>88155.264837372524</v>
      </c>
      <c r="K149" s="480">
        <f t="shared" ref="K149:P149" si="40">K113-K147</f>
        <v>87047.611082523188</v>
      </c>
      <c r="L149" s="480">
        <f t="shared" si="40"/>
        <v>85792.907806296018</v>
      </c>
      <c r="M149" s="480">
        <f t="shared" si="40"/>
        <v>84383.163056869351</v>
      </c>
      <c r="N149" s="480">
        <f t="shared" si="40"/>
        <v>82810.028506540984</v>
      </c>
      <c r="O149" s="480">
        <f t="shared" si="40"/>
        <v>81064.784841048124</v>
      </c>
      <c r="P149" s="481">
        <f t="shared" si="40"/>
        <v>79138.32657523395</v>
      </c>
      <c r="Q149" s="516"/>
    </row>
    <row r="150" spans="2:17" x14ac:dyDescent="0.25">
      <c r="B150" s="394"/>
      <c r="C150" s="942"/>
      <c r="D150" s="942"/>
      <c r="E150" s="942"/>
      <c r="F150" s="942"/>
      <c r="G150" s="942"/>
      <c r="H150" s="942"/>
      <c r="I150" s="942"/>
      <c r="J150" s="942"/>
      <c r="K150" s="942"/>
      <c r="L150" s="942"/>
      <c r="M150" s="942"/>
      <c r="N150" s="942"/>
      <c r="O150" s="942"/>
      <c r="P150" s="942"/>
      <c r="Q150" s="944"/>
    </row>
    <row r="151" spans="2:17" ht="15.75" thickBot="1" x14ac:dyDescent="0.3">
      <c r="B151" s="394"/>
      <c r="C151" s="2473" t="s">
        <v>455</v>
      </c>
      <c r="D151" s="2473"/>
      <c r="E151" s="2473"/>
      <c r="F151" s="482"/>
      <c r="G151" s="482"/>
      <c r="H151" s="482"/>
      <c r="I151" s="482"/>
      <c r="J151" s="482"/>
      <c r="K151" s="482"/>
      <c r="L151" s="482"/>
      <c r="M151" s="1351"/>
      <c r="N151" s="1351"/>
      <c r="O151" s="1351"/>
      <c r="P151" s="1351"/>
      <c r="Q151" s="944"/>
    </row>
    <row r="152" spans="2:17" ht="15.75" thickBot="1" x14ac:dyDescent="0.3">
      <c r="B152" s="394"/>
      <c r="C152" s="589" t="s">
        <v>456</v>
      </c>
      <c r="D152" s="524"/>
      <c r="E152" s="1208"/>
      <c r="F152" s="1208"/>
      <c r="G152" s="1208"/>
      <c r="H152" s="1208"/>
      <c r="I152" s="446" t="s">
        <v>468</v>
      </c>
      <c r="J152" s="508" t="s">
        <v>469</v>
      </c>
      <c r="K152" s="509" t="s">
        <v>470</v>
      </c>
      <c r="L152" s="509" t="s">
        <v>471</v>
      </c>
      <c r="M152" s="509" t="s">
        <v>472</v>
      </c>
      <c r="N152" s="509" t="s">
        <v>473</v>
      </c>
      <c r="O152" s="509" t="s">
        <v>474</v>
      </c>
      <c r="P152" s="510" t="s">
        <v>475</v>
      </c>
      <c r="Q152" s="944"/>
    </row>
    <row r="153" spans="2:17" x14ac:dyDescent="0.25">
      <c r="B153" s="394"/>
      <c r="C153" s="2513" t="str">
        <f>IF(C72="Lender 1","",C72)</f>
        <v>Lender 1 - Permanent Loan</v>
      </c>
      <c r="D153" s="2502"/>
      <c r="E153" s="2502"/>
      <c r="F153" s="2502"/>
      <c r="G153" s="2502"/>
      <c r="H153" s="2503"/>
      <c r="I153" s="1678">
        <f>P72</f>
        <v>68005</v>
      </c>
      <c r="J153" s="1699">
        <f>I153</f>
        <v>68005</v>
      </c>
      <c r="K153" s="1699">
        <f t="shared" ref="K153:P153" si="41">J153</f>
        <v>68005</v>
      </c>
      <c r="L153" s="1699">
        <f t="shared" si="41"/>
        <v>68005</v>
      </c>
      <c r="M153" s="1699">
        <f t="shared" si="41"/>
        <v>68005</v>
      </c>
      <c r="N153" s="1699">
        <f t="shared" si="41"/>
        <v>68005</v>
      </c>
      <c r="O153" s="1699">
        <f t="shared" si="41"/>
        <v>68005</v>
      </c>
      <c r="P153" s="1700">
        <f t="shared" si="41"/>
        <v>68005</v>
      </c>
      <c r="Q153" s="944"/>
    </row>
    <row r="154" spans="2:17" x14ac:dyDescent="0.25">
      <c r="B154" s="394"/>
      <c r="C154" s="2498">
        <f>IF(C73="Lender 2","",C73)</f>
        <v>0</v>
      </c>
      <c r="D154" s="2499"/>
      <c r="E154" s="2499"/>
      <c r="F154" s="2499"/>
      <c r="G154" s="2499"/>
      <c r="H154" s="2500"/>
      <c r="I154" s="1681">
        <v>0</v>
      </c>
      <c r="J154" s="1701">
        <v>0</v>
      </c>
      <c r="K154" s="1701">
        <v>0</v>
      </c>
      <c r="L154" s="1701">
        <v>0</v>
      </c>
      <c r="M154" s="1701">
        <v>0</v>
      </c>
      <c r="N154" s="1701">
        <v>0</v>
      </c>
      <c r="O154" s="1701">
        <v>0</v>
      </c>
      <c r="P154" s="1702">
        <v>0</v>
      </c>
      <c r="Q154" s="944"/>
    </row>
    <row r="155" spans="2:17" ht="15.75" thickBot="1" x14ac:dyDescent="0.3">
      <c r="B155" s="394"/>
      <c r="C155" s="2495" t="s">
        <v>460</v>
      </c>
      <c r="D155" s="2511"/>
      <c r="E155" s="2511"/>
      <c r="F155" s="2511"/>
      <c r="G155" s="2511"/>
      <c r="H155" s="2512"/>
      <c r="I155" s="1684">
        <v>0</v>
      </c>
      <c r="J155" s="1703">
        <v>0</v>
      </c>
      <c r="K155" s="1703">
        <v>0</v>
      </c>
      <c r="L155" s="1703">
        <v>0</v>
      </c>
      <c r="M155" s="1703">
        <v>0</v>
      </c>
      <c r="N155" s="1703">
        <v>0</v>
      </c>
      <c r="O155" s="1703">
        <v>0</v>
      </c>
      <c r="P155" s="1704">
        <v>0</v>
      </c>
      <c r="Q155" s="944"/>
    </row>
    <row r="156" spans="2:17" ht="15.75" thickTop="1" x14ac:dyDescent="0.25">
      <c r="B156" s="394"/>
      <c r="C156" s="1208"/>
      <c r="D156" s="1208"/>
      <c r="E156" s="1352"/>
      <c r="F156" s="1353"/>
      <c r="G156" s="1353"/>
      <c r="H156" s="1354" t="s">
        <v>461</v>
      </c>
      <c r="I156" s="483">
        <f>SUM(I153:I155)</f>
        <v>68005</v>
      </c>
      <c r="J156" s="484">
        <f t="shared" ref="J156:P156" si="42">SUM(J153:J155)</f>
        <v>68005</v>
      </c>
      <c r="K156" s="484">
        <f t="shared" si="42"/>
        <v>68005</v>
      </c>
      <c r="L156" s="484">
        <f t="shared" si="42"/>
        <v>68005</v>
      </c>
      <c r="M156" s="484">
        <f t="shared" si="42"/>
        <v>68005</v>
      </c>
      <c r="N156" s="484">
        <f t="shared" si="42"/>
        <v>68005</v>
      </c>
      <c r="O156" s="484">
        <f t="shared" si="42"/>
        <v>68005</v>
      </c>
      <c r="P156" s="485">
        <f t="shared" si="42"/>
        <v>68005</v>
      </c>
      <c r="Q156" s="944"/>
    </row>
    <row r="157" spans="2:17" x14ac:dyDescent="0.25">
      <c r="B157" s="394"/>
      <c r="C157" s="1208"/>
      <c r="D157" s="1208"/>
      <c r="E157" s="1208"/>
      <c r="F157" s="1804"/>
      <c r="G157" s="1804"/>
      <c r="H157" s="1804" t="s">
        <v>462</v>
      </c>
      <c r="I157" s="2071">
        <f>IFERROR(I149/I156,"$0 ")</f>
        <v>1.3105436174545304</v>
      </c>
      <c r="J157" s="2072">
        <f t="shared" ref="J157:O157" si="43">IFERROR(J149/J156,"$0 ")</f>
        <v>1.2963056368998238</v>
      </c>
      <c r="K157" s="2072">
        <f t="shared" si="43"/>
        <v>1.2800178087276404</v>
      </c>
      <c r="L157" s="2072">
        <f t="shared" si="43"/>
        <v>1.2615676465891628</v>
      </c>
      <c r="M157" s="2072">
        <f t="shared" si="43"/>
        <v>1.2408376304223123</v>
      </c>
      <c r="N157" s="2072">
        <f t="shared" si="43"/>
        <v>1.2177049997285638</v>
      </c>
      <c r="O157" s="2072">
        <f t="shared" si="43"/>
        <v>1.1920415387258014</v>
      </c>
      <c r="P157" s="2076">
        <f>IFERROR(P149/P156,"$0 ")</f>
        <v>1.1637133530657151</v>
      </c>
      <c r="Q157" s="944"/>
    </row>
    <row r="158" spans="2:17" ht="15.75" thickBot="1" x14ac:dyDescent="0.3">
      <c r="B158" s="394"/>
      <c r="C158" s="1208"/>
      <c r="D158" s="1208"/>
      <c r="E158" s="2491" t="s">
        <v>463</v>
      </c>
      <c r="F158" s="2491"/>
      <c r="G158" s="2491"/>
      <c r="H158" s="2492"/>
      <c r="I158" s="486">
        <f>I149-I156</f>
        <v>21118.518704995338</v>
      </c>
      <c r="J158" s="487">
        <f t="shared" ref="J158:P158" si="44">J149-J156</f>
        <v>20150.264837372524</v>
      </c>
      <c r="K158" s="487">
        <f t="shared" si="44"/>
        <v>19042.611082523188</v>
      </c>
      <c r="L158" s="487">
        <f t="shared" si="44"/>
        <v>17787.907806296018</v>
      </c>
      <c r="M158" s="487">
        <f t="shared" si="44"/>
        <v>16378.163056869351</v>
      </c>
      <c r="N158" s="487">
        <f t="shared" si="44"/>
        <v>14805.028506540984</v>
      </c>
      <c r="O158" s="487">
        <f t="shared" si="44"/>
        <v>13059.784841048124</v>
      </c>
      <c r="P158" s="488">
        <f t="shared" si="44"/>
        <v>11133.32657523395</v>
      </c>
      <c r="Q158" s="944"/>
    </row>
    <row r="159" spans="2:17" ht="15.75" thickBot="1" x14ac:dyDescent="0.3">
      <c r="B159" s="394"/>
      <c r="C159" s="1208"/>
      <c r="D159" s="1208"/>
      <c r="E159" s="1208"/>
      <c r="F159" s="1208"/>
      <c r="G159" s="1208"/>
      <c r="H159" s="1208"/>
      <c r="I159" s="1208"/>
      <c r="J159" s="1208"/>
      <c r="K159" s="1208"/>
      <c r="L159" s="1208"/>
      <c r="M159" s="1208"/>
      <c r="N159" s="1208"/>
      <c r="O159" s="1208"/>
      <c r="P159" s="1208"/>
      <c r="Q159" s="944"/>
    </row>
    <row r="160" spans="2:17" ht="15.75" thickBot="1" x14ac:dyDescent="0.3">
      <c r="B160" s="394"/>
      <c r="C160" s="589" t="s">
        <v>464</v>
      </c>
      <c r="D160" s="1208"/>
      <c r="E160" s="1208"/>
      <c r="F160" s="1208"/>
      <c r="G160" s="1208"/>
      <c r="H160" s="1208"/>
      <c r="I160" s="446" t="s">
        <v>468</v>
      </c>
      <c r="J160" s="508" t="s">
        <v>469</v>
      </c>
      <c r="K160" s="509" t="s">
        <v>470</v>
      </c>
      <c r="L160" s="509" t="s">
        <v>471</v>
      </c>
      <c r="M160" s="509" t="s">
        <v>472</v>
      </c>
      <c r="N160" s="509" t="s">
        <v>473</v>
      </c>
      <c r="O160" s="509" t="s">
        <v>474</v>
      </c>
      <c r="P160" s="510" t="s">
        <v>475</v>
      </c>
      <c r="Q160" s="944"/>
    </row>
    <row r="161" spans="2:17" x14ac:dyDescent="0.25">
      <c r="B161" s="394"/>
      <c r="C161" s="2514" t="str">
        <f>IF(C80="Lender 4","",C80)</f>
        <v>Lender 2 King County</v>
      </c>
      <c r="D161" s="2515"/>
      <c r="E161" s="2515"/>
      <c r="F161" s="2515"/>
      <c r="G161" s="2515"/>
      <c r="H161" s="2516"/>
      <c r="I161" s="1705">
        <v>0</v>
      </c>
      <c r="J161" s="1706">
        <v>0</v>
      </c>
      <c r="K161" s="1706">
        <v>0</v>
      </c>
      <c r="L161" s="1706">
        <v>0</v>
      </c>
      <c r="M161" s="1706">
        <v>0</v>
      </c>
      <c r="N161" s="1706">
        <v>0</v>
      </c>
      <c r="O161" s="1706">
        <v>0</v>
      </c>
      <c r="P161" s="1707">
        <v>0</v>
      </c>
      <c r="Q161" s="944"/>
    </row>
    <row r="162" spans="2:17" x14ac:dyDescent="0.25">
      <c r="B162" s="394"/>
      <c r="C162" s="2508" t="str">
        <f>IF(C81="Lender 5","",C81)</f>
        <v>Lender 3 - State Housing Trust Fund</v>
      </c>
      <c r="D162" s="2509"/>
      <c r="E162" s="2509"/>
      <c r="F162" s="2509"/>
      <c r="G162" s="2509"/>
      <c r="H162" s="2510"/>
      <c r="I162" s="1708">
        <v>0</v>
      </c>
      <c r="J162" s="1709">
        <v>0</v>
      </c>
      <c r="K162" s="1709">
        <v>0</v>
      </c>
      <c r="L162" s="1709">
        <v>0</v>
      </c>
      <c r="M162" s="1709">
        <v>0</v>
      </c>
      <c r="N162" s="1709">
        <v>0</v>
      </c>
      <c r="O162" s="1709">
        <v>0</v>
      </c>
      <c r="P162" s="1710">
        <v>0</v>
      </c>
      <c r="Q162" s="944"/>
    </row>
    <row r="163" spans="2:17" x14ac:dyDescent="0.25">
      <c r="B163" s="394"/>
      <c r="C163" s="2508" t="str">
        <f>IF(C82="Lender 6","",C82)</f>
        <v>Lender 4 - Office of Housing</v>
      </c>
      <c r="D163" s="2509"/>
      <c r="E163" s="2509"/>
      <c r="F163" s="2509"/>
      <c r="G163" s="2509"/>
      <c r="H163" s="2510"/>
      <c r="I163" s="1708">
        <v>0</v>
      </c>
      <c r="J163" s="1709">
        <v>0</v>
      </c>
      <c r="K163" s="1709">
        <v>0</v>
      </c>
      <c r="L163" s="1709">
        <v>0</v>
      </c>
      <c r="M163" s="1709">
        <v>0</v>
      </c>
      <c r="N163" s="1709">
        <v>0</v>
      </c>
      <c r="O163" s="1709">
        <v>0</v>
      </c>
      <c r="P163" s="1710">
        <v>0</v>
      </c>
      <c r="Q163" s="944"/>
    </row>
    <row r="164" spans="2:17" ht="15.75" thickBot="1" x14ac:dyDescent="0.3">
      <c r="B164" s="394"/>
      <c r="C164" s="2495" t="s">
        <v>460</v>
      </c>
      <c r="D164" s="2511"/>
      <c r="E164" s="2511"/>
      <c r="F164" s="2511"/>
      <c r="G164" s="2511"/>
      <c r="H164" s="2512"/>
      <c r="I164" s="1711">
        <v>0</v>
      </c>
      <c r="J164" s="1712">
        <v>0</v>
      </c>
      <c r="K164" s="1712">
        <v>0</v>
      </c>
      <c r="L164" s="1712">
        <v>0</v>
      </c>
      <c r="M164" s="1712">
        <v>0</v>
      </c>
      <c r="N164" s="1712">
        <v>0</v>
      </c>
      <c r="O164" s="1712">
        <v>0</v>
      </c>
      <c r="P164" s="1713">
        <v>0</v>
      </c>
      <c r="Q164" s="944"/>
    </row>
    <row r="165" spans="2:17" ht="16.5" thickTop="1" thickBot="1" x14ac:dyDescent="0.3">
      <c r="B165" s="394"/>
      <c r="C165" s="1366"/>
      <c r="D165" s="590"/>
      <c r="E165" s="2491" t="s">
        <v>465</v>
      </c>
      <c r="F165" s="2504"/>
      <c r="G165" s="2504"/>
      <c r="H165" s="2505"/>
      <c r="I165" s="489">
        <f>SUM(I161:I164)</f>
        <v>0</v>
      </c>
      <c r="J165" s="490">
        <f t="shared" ref="J165:P165" si="45">SUM(J161:J164)</f>
        <v>0</v>
      </c>
      <c r="K165" s="490">
        <f t="shared" si="45"/>
        <v>0</v>
      </c>
      <c r="L165" s="490">
        <f t="shared" si="45"/>
        <v>0</v>
      </c>
      <c r="M165" s="490">
        <f t="shared" si="45"/>
        <v>0</v>
      </c>
      <c r="N165" s="490">
        <f t="shared" si="45"/>
        <v>0</v>
      </c>
      <c r="O165" s="490">
        <f t="shared" si="45"/>
        <v>0</v>
      </c>
      <c r="P165" s="491">
        <f t="shared" si="45"/>
        <v>0</v>
      </c>
      <c r="Q165" s="944"/>
    </row>
    <row r="166" spans="2:17" ht="7.5" customHeight="1" thickBot="1" x14ac:dyDescent="0.3">
      <c r="B166" s="394"/>
      <c r="C166" s="942"/>
      <c r="D166" s="1804"/>
      <c r="E166" s="1208"/>
      <c r="F166" s="1208"/>
      <c r="G166" s="1208"/>
      <c r="H166" s="1208"/>
      <c r="I166" s="1208"/>
      <c r="J166" s="1208"/>
      <c r="K166" s="1208"/>
      <c r="L166" s="1208"/>
      <c r="M166" s="1208"/>
      <c r="N166" s="1208"/>
      <c r="O166" s="1208"/>
      <c r="P166" s="1208"/>
      <c r="Q166" s="944"/>
    </row>
    <row r="167" spans="2:17" x14ac:dyDescent="0.25">
      <c r="B167" s="394"/>
      <c r="C167" s="942"/>
      <c r="D167" s="1804"/>
      <c r="E167" s="2491" t="s">
        <v>466</v>
      </c>
      <c r="F167" s="2491"/>
      <c r="G167" s="2491"/>
      <c r="H167" s="2492"/>
      <c r="I167" s="2073">
        <f>IFERROR(I149/(I156+I165),"$0 ")</f>
        <v>1.3105436174545304</v>
      </c>
      <c r="J167" s="2074">
        <f t="shared" ref="J167:P167" si="46">IFERROR(J149/(J156+J165),"$0 ")</f>
        <v>1.2963056368998238</v>
      </c>
      <c r="K167" s="2074">
        <f t="shared" si="46"/>
        <v>1.2800178087276404</v>
      </c>
      <c r="L167" s="2074">
        <f t="shared" si="46"/>
        <v>1.2615676465891628</v>
      </c>
      <c r="M167" s="2074">
        <f t="shared" si="46"/>
        <v>1.2408376304223123</v>
      </c>
      <c r="N167" s="2074">
        <f t="shared" si="46"/>
        <v>1.2177049997285638</v>
      </c>
      <c r="O167" s="2074">
        <f t="shared" si="46"/>
        <v>1.1920415387258014</v>
      </c>
      <c r="P167" s="2075">
        <f t="shared" si="46"/>
        <v>1.1637133530657151</v>
      </c>
      <c r="Q167" s="944"/>
    </row>
    <row r="168" spans="2:17" ht="15.75" thickBot="1" x14ac:dyDescent="0.3">
      <c r="B168" s="394"/>
      <c r="C168" s="811"/>
      <c r="D168" s="1804"/>
      <c r="E168" s="2491" t="s">
        <v>467</v>
      </c>
      <c r="F168" s="2493"/>
      <c r="G168" s="2493"/>
      <c r="H168" s="2494"/>
      <c r="I168" s="1356">
        <f>I158-I165</f>
        <v>21118.518704995338</v>
      </c>
      <c r="J168" s="1358">
        <f t="shared" ref="J168:O168" si="47">J158-J165</f>
        <v>20150.264837372524</v>
      </c>
      <c r="K168" s="1358">
        <f t="shared" si="47"/>
        <v>19042.611082523188</v>
      </c>
      <c r="L168" s="1358">
        <f t="shared" si="47"/>
        <v>17787.907806296018</v>
      </c>
      <c r="M168" s="1358">
        <f t="shared" si="47"/>
        <v>16378.163056869351</v>
      </c>
      <c r="N168" s="1358">
        <f t="shared" si="47"/>
        <v>14805.028506540984</v>
      </c>
      <c r="O168" s="1358">
        <f t="shared" si="47"/>
        <v>13059.784841048124</v>
      </c>
      <c r="P168" s="1359">
        <f>P158-P165</f>
        <v>11133.32657523395</v>
      </c>
      <c r="Q168" s="944"/>
    </row>
    <row r="169" spans="2:17" ht="9" customHeight="1" thickBot="1" x14ac:dyDescent="0.3">
      <c r="B169" s="1367"/>
      <c r="C169" s="698"/>
      <c r="D169" s="698"/>
      <c r="E169" s="698"/>
      <c r="F169" s="698"/>
      <c r="G169" s="698"/>
      <c r="H169" s="698"/>
      <c r="I169" s="698"/>
      <c r="J169" s="698"/>
      <c r="K169" s="698"/>
      <c r="L169" s="698"/>
      <c r="M169" s="698"/>
      <c r="N169" s="698"/>
      <c r="O169" s="698"/>
      <c r="P169" s="698"/>
      <c r="Q169" s="1368"/>
    </row>
  </sheetData>
  <sheetProtection password="9F6B" sheet="1" objects="1" scenarios="1" formatCells="0" formatColumns="0" formatRows="0"/>
  <mergeCells count="39">
    <mergeCell ref="H79:I79"/>
    <mergeCell ref="C9:P9"/>
    <mergeCell ref="D21:F21"/>
    <mergeCell ref="D22:F22"/>
    <mergeCell ref="C70:E70"/>
    <mergeCell ref="H71:I71"/>
    <mergeCell ref="C72:G72"/>
    <mergeCell ref="H72:I72"/>
    <mergeCell ref="C73:G73"/>
    <mergeCell ref="H73:I73"/>
    <mergeCell ref="C74:G74"/>
    <mergeCell ref="H74:I74"/>
    <mergeCell ref="F77:I77"/>
    <mergeCell ref="C80:G80"/>
    <mergeCell ref="H80:I80"/>
    <mergeCell ref="C81:G81"/>
    <mergeCell ref="H81:I81"/>
    <mergeCell ref="C82:G82"/>
    <mergeCell ref="H82:I82"/>
    <mergeCell ref="C155:H155"/>
    <mergeCell ref="C83:G83"/>
    <mergeCell ref="H83:I83"/>
    <mergeCell ref="F84:I84"/>
    <mergeCell ref="F86:I86"/>
    <mergeCell ref="F87:I87"/>
    <mergeCell ref="C90:P90"/>
    <mergeCell ref="D102:F102"/>
    <mergeCell ref="D103:F103"/>
    <mergeCell ref="C151:E151"/>
    <mergeCell ref="C153:H153"/>
    <mergeCell ref="C154:H154"/>
    <mergeCell ref="E167:H167"/>
    <mergeCell ref="E168:H168"/>
    <mergeCell ref="E158:H158"/>
    <mergeCell ref="C161:H161"/>
    <mergeCell ref="C162:H162"/>
    <mergeCell ref="C163:H163"/>
    <mergeCell ref="C164:H164"/>
    <mergeCell ref="E165:H165"/>
  </mergeCells>
  <pageMargins left="0.7" right="0.7" top="0.75" bottom="0.75" header="0.3" footer="0.3"/>
  <pageSetup paperSize="17" scale="90" fitToHeight="2" orientation="portrait" r:id="rId1"/>
  <headerFooter>
    <oddFooter>&amp;LForm 8E(2)(b)
Operating Pro Forma (Alternate without Subsidy)&amp;CCFA Forms&amp;REdition: 2015
Version: 1.1</oddFooter>
  </headerFooter>
  <rowBreaks count="1" manualBreakCount="1">
    <brk id="88" min="1" max="16"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1"/>
  <sheetViews>
    <sheetView showGridLines="0" zoomScaleNormal="100" workbookViewId="0">
      <selection activeCell="E47" sqref="E47"/>
    </sheetView>
  </sheetViews>
  <sheetFormatPr defaultRowHeight="15" x14ac:dyDescent="0.25"/>
  <cols>
    <col min="1" max="2" width="1.7109375" style="844" customWidth="1"/>
    <col min="3" max="3" width="14.28515625" style="844" customWidth="1"/>
    <col min="4" max="4" width="10" style="844" customWidth="1"/>
    <col min="5" max="5" width="74.28515625" style="844" customWidth="1"/>
    <col min="6" max="6" width="1.7109375" style="844" customWidth="1"/>
    <col min="7" max="16384" width="9.140625" style="844"/>
  </cols>
  <sheetData>
    <row r="6" spans="2:6" ht="15.75" thickBot="1" x14ac:dyDescent="0.3"/>
    <row r="7" spans="2:6" ht="9" customHeight="1" x14ac:dyDescent="0.25">
      <c r="B7" s="1379"/>
      <c r="C7" s="1380"/>
      <c r="D7" s="1380"/>
      <c r="E7" s="1381"/>
      <c r="F7" s="1382"/>
    </row>
    <row r="8" spans="2:6" ht="18.75" x14ac:dyDescent="0.3">
      <c r="B8" s="1383"/>
      <c r="C8" s="2225" t="s">
        <v>1260</v>
      </c>
      <c r="D8" s="2225"/>
      <c r="E8" s="2225"/>
      <c r="F8" s="1384"/>
    </row>
    <row r="9" spans="2:6" x14ac:dyDescent="0.25">
      <c r="B9" s="1383"/>
      <c r="C9" s="401"/>
      <c r="D9" s="401"/>
      <c r="E9" s="433"/>
      <c r="F9" s="1384"/>
    </row>
    <row r="10" spans="2:6" x14ac:dyDescent="0.25">
      <c r="B10" s="1383"/>
      <c r="C10" s="1385" t="s">
        <v>1</v>
      </c>
      <c r="D10" s="2149" t="str">
        <f>IF('1A'!G5="","Enter Project Name on Form 1A",'1A'!G5)</f>
        <v>University District Apartments</v>
      </c>
      <c r="E10" s="2149"/>
      <c r="F10" s="1384"/>
    </row>
    <row r="11" spans="2:6" ht="22.5" customHeight="1" x14ac:dyDescent="0.25">
      <c r="B11" s="1383"/>
      <c r="C11" s="585"/>
      <c r="D11" s="585"/>
      <c r="E11" s="354"/>
      <c r="F11" s="1384"/>
    </row>
    <row r="12" spans="2:6" x14ac:dyDescent="0.25">
      <c r="B12" s="1383"/>
      <c r="C12" s="1386" t="s">
        <v>479</v>
      </c>
      <c r="D12" s="1386"/>
      <c r="E12" s="433"/>
      <c r="F12" s="1384"/>
    </row>
    <row r="13" spans="2:6" ht="15.75" thickBot="1" x14ac:dyDescent="0.3">
      <c r="B13" s="1383"/>
      <c r="C13" s="212" t="s">
        <v>480</v>
      </c>
      <c r="D13" s="212"/>
      <c r="E13" s="1387"/>
      <c r="F13" s="1384"/>
    </row>
    <row r="14" spans="2:6" x14ac:dyDescent="0.25">
      <c r="B14" s="1383"/>
      <c r="C14" s="2553" t="s">
        <v>1612</v>
      </c>
      <c r="D14" s="2554"/>
      <c r="E14" s="2555"/>
      <c r="F14" s="1384"/>
    </row>
    <row r="15" spans="2:6" x14ac:dyDescent="0.25">
      <c r="B15" s="1383"/>
      <c r="C15" s="2556"/>
      <c r="D15" s="2557"/>
      <c r="E15" s="2558"/>
      <c r="F15" s="1384"/>
    </row>
    <row r="16" spans="2:6" x14ac:dyDescent="0.25">
      <c r="B16" s="1383"/>
      <c r="C16" s="2556"/>
      <c r="D16" s="2557"/>
      <c r="E16" s="2558"/>
      <c r="F16" s="1384"/>
    </row>
    <row r="17" spans="1:11" ht="15.75" thickBot="1" x14ac:dyDescent="0.3">
      <c r="B17" s="1383"/>
      <c r="C17" s="2559"/>
      <c r="D17" s="2560"/>
      <c r="E17" s="2561"/>
      <c r="F17" s="1384"/>
    </row>
    <row r="18" spans="1:11" x14ac:dyDescent="0.25">
      <c r="B18" s="1383"/>
      <c r="C18" s="217"/>
      <c r="D18" s="217"/>
      <c r="E18" s="1387"/>
      <c r="F18" s="1384"/>
    </row>
    <row r="19" spans="1:11" x14ac:dyDescent="0.25">
      <c r="A19" s="839"/>
      <c r="B19" s="1383"/>
      <c r="C19" s="1386" t="s">
        <v>481</v>
      </c>
      <c r="D19" s="1386"/>
      <c r="E19" s="699"/>
      <c r="F19" s="1388"/>
      <c r="G19" s="839"/>
      <c r="H19" s="839"/>
      <c r="I19" s="839"/>
      <c r="J19" s="839"/>
      <c r="K19" s="839"/>
    </row>
    <row r="20" spans="1:11" ht="7.5" customHeight="1" x14ac:dyDescent="0.25">
      <c r="A20" s="839"/>
      <c r="B20" s="1383"/>
      <c r="C20" s="1389"/>
      <c r="D20" s="1389"/>
      <c r="E20" s="699"/>
      <c r="F20" s="1388"/>
      <c r="G20" s="839"/>
      <c r="H20" s="839"/>
      <c r="I20" s="839"/>
      <c r="J20" s="839"/>
      <c r="K20" s="839"/>
    </row>
    <row r="21" spans="1:11" ht="15.75" thickBot="1" x14ac:dyDescent="0.3">
      <c r="A21" s="839"/>
      <c r="B21" s="1383"/>
      <c r="C21" s="524" t="s">
        <v>425</v>
      </c>
      <c r="D21" s="524"/>
      <c r="E21" s="1208"/>
      <c r="F21" s="1388"/>
      <c r="G21" s="839"/>
      <c r="H21" s="839"/>
      <c r="I21" s="839"/>
      <c r="J21" s="839"/>
      <c r="K21" s="839"/>
    </row>
    <row r="22" spans="1:11" x14ac:dyDescent="0.25">
      <c r="A22" s="839"/>
      <c r="B22" s="1383"/>
      <c r="C22" s="578" t="s">
        <v>427</v>
      </c>
      <c r="D22" s="578"/>
      <c r="E22" s="595" t="s">
        <v>1613</v>
      </c>
      <c r="F22" s="1388"/>
      <c r="G22" s="839"/>
      <c r="H22" s="839"/>
      <c r="I22" s="839"/>
      <c r="J22" s="839"/>
      <c r="K22" s="839"/>
    </row>
    <row r="23" spans="1:11" x14ac:dyDescent="0.25">
      <c r="A23" s="839"/>
      <c r="B23" s="1383"/>
      <c r="C23" s="578" t="s">
        <v>428</v>
      </c>
      <c r="D23" s="578"/>
      <c r="E23" s="596" t="s">
        <v>1614</v>
      </c>
      <c r="F23" s="1388"/>
      <c r="G23" s="839"/>
      <c r="H23" s="839"/>
      <c r="I23" s="839"/>
      <c r="J23" s="839"/>
      <c r="K23" s="839"/>
    </row>
    <row r="24" spans="1:11" x14ac:dyDescent="0.25">
      <c r="A24" s="839"/>
      <c r="B24" s="1383"/>
      <c r="C24" s="578" t="s">
        <v>429</v>
      </c>
      <c r="D24" s="578"/>
      <c r="E24" s="596" t="s">
        <v>1615</v>
      </c>
      <c r="F24" s="1388"/>
      <c r="G24" s="839"/>
      <c r="H24" s="839"/>
      <c r="I24" s="839"/>
      <c r="J24" s="839"/>
      <c r="K24" s="839"/>
    </row>
    <row r="25" spans="1:11" x14ac:dyDescent="0.25">
      <c r="A25" s="839"/>
      <c r="B25" s="1383"/>
      <c r="C25" s="578" t="s">
        <v>430</v>
      </c>
      <c r="D25" s="578"/>
      <c r="E25" s="596" t="s">
        <v>1617</v>
      </c>
      <c r="F25" s="1388"/>
      <c r="G25" s="839"/>
      <c r="H25" s="839"/>
      <c r="I25" s="839"/>
      <c r="J25" s="839"/>
      <c r="K25" s="839"/>
    </row>
    <row r="26" spans="1:11" x14ac:dyDescent="0.25">
      <c r="A26" s="839"/>
      <c r="B26" s="1383"/>
      <c r="C26" s="578" t="s">
        <v>431</v>
      </c>
      <c r="D26" s="578"/>
      <c r="E26" s="596" t="str">
        <f>E25</f>
        <v>Number arrived at from Bellwether Portfolio expenses</v>
      </c>
      <c r="F26" s="1388"/>
      <c r="G26" s="839"/>
      <c r="H26" s="839"/>
      <c r="I26" s="839"/>
      <c r="J26" s="839"/>
      <c r="K26" s="839"/>
    </row>
    <row r="27" spans="1:11" x14ac:dyDescent="0.25">
      <c r="A27" s="839"/>
      <c r="B27" s="1383"/>
      <c r="C27" s="578" t="s">
        <v>432</v>
      </c>
      <c r="D27" s="578"/>
      <c r="E27" s="596" t="s">
        <v>1616</v>
      </c>
      <c r="F27" s="1388"/>
      <c r="G27" s="839"/>
      <c r="H27" s="839"/>
      <c r="I27" s="839"/>
      <c r="J27" s="839"/>
      <c r="K27" s="839"/>
    </row>
    <row r="28" spans="1:11" x14ac:dyDescent="0.25">
      <c r="A28" s="839"/>
      <c r="B28" s="1383"/>
      <c r="C28" s="578" t="s">
        <v>433</v>
      </c>
      <c r="D28" s="578"/>
      <c r="E28" s="596" t="str">
        <f>E26</f>
        <v>Number arrived at from Bellwether Portfolio expenses</v>
      </c>
      <c r="F28" s="1388"/>
      <c r="G28" s="839"/>
      <c r="H28" s="839"/>
      <c r="I28" s="839"/>
      <c r="J28" s="839"/>
      <c r="K28" s="839"/>
    </row>
    <row r="29" spans="1:11" x14ac:dyDescent="0.25">
      <c r="A29" s="839"/>
      <c r="B29" s="1383"/>
      <c r="C29" s="578" t="s">
        <v>434</v>
      </c>
      <c r="D29" s="578"/>
      <c r="E29" s="596"/>
      <c r="F29" s="1388"/>
      <c r="G29" s="839"/>
      <c r="H29" s="839"/>
      <c r="I29" s="839"/>
      <c r="J29" s="839"/>
      <c r="K29" s="839"/>
    </row>
    <row r="30" spans="1:11" x14ac:dyDescent="0.25">
      <c r="A30" s="839"/>
      <c r="B30" s="1383"/>
      <c r="C30" s="578" t="s">
        <v>435</v>
      </c>
      <c r="D30" s="578"/>
      <c r="E30" s="596" t="str">
        <f>E28</f>
        <v>Number arrived at from Bellwether Portfolio expenses</v>
      </c>
      <c r="F30" s="1388"/>
      <c r="G30" s="839"/>
      <c r="H30" s="839"/>
      <c r="I30" s="839"/>
      <c r="J30" s="839"/>
      <c r="K30" s="839"/>
    </row>
    <row r="31" spans="1:11" x14ac:dyDescent="0.25">
      <c r="A31" s="839"/>
      <c r="B31" s="1383"/>
      <c r="C31" s="578" t="s">
        <v>436</v>
      </c>
      <c r="D31" s="578"/>
      <c r="E31" s="596" t="str">
        <f>E28</f>
        <v>Number arrived at from Bellwether Portfolio expenses</v>
      </c>
      <c r="F31" s="1388"/>
      <c r="G31" s="839"/>
      <c r="H31" s="839"/>
      <c r="I31" s="839"/>
      <c r="J31" s="839"/>
      <c r="K31" s="839"/>
    </row>
    <row r="32" spans="1:11" x14ac:dyDescent="0.25">
      <c r="A32" s="839"/>
      <c r="B32" s="1383"/>
      <c r="C32" s="578" t="s">
        <v>437</v>
      </c>
      <c r="D32" s="578"/>
      <c r="E32" s="596" t="str">
        <f>E31</f>
        <v>Number arrived at from Bellwether Portfolio expenses</v>
      </c>
      <c r="F32" s="1388"/>
      <c r="G32" s="839"/>
      <c r="H32" s="839"/>
      <c r="I32" s="839"/>
      <c r="J32" s="839"/>
      <c r="K32" s="839"/>
    </row>
    <row r="33" spans="1:11" x14ac:dyDescent="0.25">
      <c r="A33" s="839"/>
      <c r="B33" s="1383"/>
      <c r="C33" s="578" t="s">
        <v>438</v>
      </c>
      <c r="D33" s="578"/>
      <c r="E33" s="596" t="str">
        <f>E32</f>
        <v>Number arrived at from Bellwether Portfolio expenses</v>
      </c>
      <c r="F33" s="1388"/>
      <c r="G33" s="839"/>
      <c r="H33" s="839"/>
      <c r="I33" s="839"/>
      <c r="J33" s="839"/>
      <c r="K33" s="839"/>
    </row>
    <row r="34" spans="1:11" x14ac:dyDescent="0.25">
      <c r="A34" s="839"/>
      <c r="B34" s="1383"/>
      <c r="C34" s="578" t="s">
        <v>439</v>
      </c>
      <c r="D34" s="578"/>
      <c r="E34" s="596" t="str">
        <f>E33</f>
        <v>Number arrived at from Bellwether Portfolio expenses</v>
      </c>
      <c r="F34" s="1388"/>
      <c r="G34" s="839"/>
      <c r="H34" s="839"/>
      <c r="I34" s="839"/>
      <c r="J34" s="839"/>
      <c r="K34" s="839"/>
    </row>
    <row r="35" spans="1:11" x14ac:dyDescent="0.25">
      <c r="A35" s="839"/>
      <c r="B35" s="1383"/>
      <c r="C35" s="578" t="s">
        <v>440</v>
      </c>
      <c r="D35" s="578"/>
      <c r="E35" s="596" t="str">
        <f>E34</f>
        <v>Number arrived at from Bellwether Portfolio expenses</v>
      </c>
      <c r="F35" s="1388"/>
      <c r="G35" s="839"/>
      <c r="H35" s="839"/>
      <c r="I35" s="839"/>
      <c r="J35" s="839"/>
      <c r="K35" s="839"/>
    </row>
    <row r="36" spans="1:11" x14ac:dyDescent="0.25">
      <c r="A36" s="839"/>
      <c r="B36" s="1383"/>
      <c r="C36" s="578" t="s">
        <v>441</v>
      </c>
      <c r="D36" s="578"/>
      <c r="E36" s="596" t="str">
        <f>E35</f>
        <v>Number arrived at from Bellwether Portfolio expenses</v>
      </c>
      <c r="F36" s="1388"/>
      <c r="G36" s="839"/>
      <c r="H36" s="839"/>
      <c r="I36" s="839"/>
      <c r="J36" s="839"/>
      <c r="K36" s="839"/>
    </row>
    <row r="37" spans="1:11" x14ac:dyDescent="0.25">
      <c r="A37" s="839"/>
      <c r="B37" s="1383"/>
      <c r="C37" s="578" t="s">
        <v>442</v>
      </c>
      <c r="D37" s="578"/>
      <c r="E37" s="596" t="s">
        <v>1618</v>
      </c>
      <c r="F37" s="1388"/>
      <c r="G37" s="839"/>
      <c r="H37" s="839"/>
      <c r="I37" s="839"/>
      <c r="J37" s="839"/>
      <c r="K37" s="839"/>
    </row>
    <row r="38" spans="1:11" ht="26.25" x14ac:dyDescent="0.25">
      <c r="A38" s="839"/>
      <c r="B38" s="1383"/>
      <c r="C38" s="578" t="s">
        <v>443</v>
      </c>
      <c r="D38" s="578"/>
      <c r="E38" s="2095" t="s">
        <v>1619</v>
      </c>
      <c r="F38" s="1388"/>
      <c r="G38" s="839"/>
      <c r="H38" s="839"/>
      <c r="I38" s="839"/>
      <c r="J38" s="839"/>
      <c r="K38" s="839"/>
    </row>
    <row r="39" spans="1:11" x14ac:dyDescent="0.25">
      <c r="A39" s="839"/>
      <c r="B39" s="1383"/>
      <c r="C39" s="578" t="s">
        <v>444</v>
      </c>
      <c r="D39" s="578"/>
      <c r="E39" s="596" t="str">
        <f>E37</f>
        <v>Number arrived at from Bellwether Portfolio expenses with deduct for AMP elements</v>
      </c>
      <c r="F39" s="1388"/>
      <c r="G39" s="839"/>
      <c r="H39" s="839"/>
      <c r="I39" s="839"/>
      <c r="J39" s="839"/>
      <c r="K39" s="839"/>
    </row>
    <row r="40" spans="1:11" x14ac:dyDescent="0.25">
      <c r="A40" s="839"/>
      <c r="B40" s="1383"/>
      <c r="C40" s="578" t="s">
        <v>445</v>
      </c>
      <c r="D40" s="578"/>
      <c r="E40" s="596" t="str">
        <f>E37</f>
        <v>Number arrived at from Bellwether Portfolio expenses with deduct for AMP elements</v>
      </c>
      <c r="F40" s="1388"/>
      <c r="G40" s="839"/>
      <c r="H40" s="839"/>
      <c r="I40" s="839"/>
      <c r="J40" s="839"/>
      <c r="K40" s="839"/>
    </row>
    <row r="41" spans="1:11" x14ac:dyDescent="0.25">
      <c r="A41" s="839"/>
      <c r="B41" s="1383"/>
      <c r="C41" s="578" t="s">
        <v>446</v>
      </c>
      <c r="D41" s="578"/>
      <c r="E41" s="596" t="str">
        <f>E36</f>
        <v>Number arrived at from Bellwether Portfolio expenses</v>
      </c>
      <c r="F41" s="1388"/>
      <c r="G41" s="839"/>
      <c r="H41" s="839"/>
      <c r="I41" s="839"/>
      <c r="J41" s="839"/>
      <c r="K41" s="839"/>
    </row>
    <row r="42" spans="1:11" x14ac:dyDescent="0.25">
      <c r="A42" s="839"/>
      <c r="B42" s="1383"/>
      <c r="C42" s="578" t="s">
        <v>482</v>
      </c>
      <c r="D42" s="578"/>
      <c r="E42" s="596" t="str">
        <f>E40</f>
        <v>Number arrived at from Bellwether Portfolio expenses with deduct for AMP elements</v>
      </c>
      <c r="F42" s="1388"/>
      <c r="G42" s="839"/>
      <c r="H42" s="839"/>
      <c r="I42" s="839"/>
      <c r="J42" s="839"/>
      <c r="K42" s="839"/>
    </row>
    <row r="43" spans="1:11" ht="30" customHeight="1" x14ac:dyDescent="0.25">
      <c r="A43" s="839"/>
      <c r="B43" s="1383"/>
      <c r="C43" s="2549" t="s">
        <v>662</v>
      </c>
      <c r="D43" s="2550"/>
      <c r="E43" s="2551" t="s">
        <v>1620</v>
      </c>
      <c r="F43" s="1388"/>
      <c r="G43" s="839"/>
      <c r="H43" s="839"/>
      <c r="I43" s="839"/>
      <c r="J43" s="839"/>
      <c r="K43" s="839"/>
    </row>
    <row r="44" spans="1:11" ht="15.75" thickBot="1" x14ac:dyDescent="0.3">
      <c r="A44" s="839"/>
      <c r="B44" s="1383"/>
      <c r="C44" s="597"/>
      <c r="D44" s="598"/>
      <c r="E44" s="2552"/>
      <c r="F44" s="1388"/>
      <c r="G44" s="839"/>
      <c r="H44" s="839"/>
      <c r="I44" s="839"/>
      <c r="J44" s="839"/>
      <c r="K44" s="839"/>
    </row>
    <row r="45" spans="1:11" ht="15.75" thickBot="1" x14ac:dyDescent="0.3">
      <c r="A45" s="839"/>
      <c r="B45" s="1383"/>
      <c r="C45" s="524" t="s">
        <v>483</v>
      </c>
      <c r="D45" s="524"/>
      <c r="E45" s="599"/>
      <c r="F45" s="1388"/>
      <c r="G45" s="839"/>
      <c r="H45" s="839"/>
      <c r="I45" s="839"/>
      <c r="J45" s="839"/>
      <c r="K45" s="839"/>
    </row>
    <row r="46" spans="1:11" x14ac:dyDescent="0.25">
      <c r="A46" s="839"/>
      <c r="B46" s="1383"/>
      <c r="C46" s="594" t="s">
        <v>448</v>
      </c>
      <c r="D46" s="594"/>
      <c r="E46" s="595" t="s">
        <v>1662</v>
      </c>
      <c r="F46" s="1388"/>
      <c r="G46" s="839"/>
      <c r="H46" s="839"/>
      <c r="I46" s="839"/>
      <c r="J46" s="839"/>
      <c r="K46" s="839"/>
    </row>
    <row r="47" spans="1:11" ht="15.75" thickBot="1" x14ac:dyDescent="0.3">
      <c r="A47" s="839"/>
      <c r="B47" s="1383"/>
      <c r="C47" s="594" t="s">
        <v>449</v>
      </c>
      <c r="D47" s="594"/>
      <c r="E47" s="600"/>
      <c r="F47" s="1388"/>
      <c r="G47" s="839"/>
      <c r="H47" s="839"/>
      <c r="I47" s="839"/>
      <c r="J47" s="839"/>
      <c r="K47" s="839"/>
    </row>
    <row r="48" spans="1:11" ht="15.75" thickBot="1" x14ac:dyDescent="0.3">
      <c r="A48" s="839"/>
      <c r="B48" s="1390"/>
      <c r="C48" s="1391"/>
      <c r="D48" s="1391"/>
      <c r="E48" s="1392"/>
      <c r="F48" s="1393"/>
      <c r="G48" s="839"/>
      <c r="H48" s="839"/>
      <c r="I48" s="839"/>
      <c r="J48" s="839"/>
      <c r="K48" s="839"/>
    </row>
    <row r="49" spans="1:11" x14ac:dyDescent="0.25">
      <c r="A49" s="839"/>
      <c r="B49" s="839"/>
      <c r="C49" s="839"/>
      <c r="D49" s="839"/>
      <c r="E49" s="839"/>
      <c r="F49" s="839"/>
      <c r="G49" s="839"/>
      <c r="H49" s="839"/>
      <c r="I49" s="839"/>
      <c r="J49" s="839"/>
      <c r="K49" s="839"/>
    </row>
    <row r="50" spans="1:11" x14ac:dyDescent="0.25">
      <c r="A50" s="839"/>
      <c r="B50" s="839"/>
      <c r="C50" s="839"/>
      <c r="D50" s="839"/>
      <c r="E50" s="839"/>
      <c r="F50" s="839"/>
      <c r="G50" s="839"/>
      <c r="H50" s="839"/>
      <c r="I50" s="839"/>
      <c r="J50" s="839"/>
      <c r="K50" s="839"/>
    </row>
    <row r="51" spans="1:11" x14ac:dyDescent="0.25">
      <c r="A51" s="839"/>
      <c r="B51" s="839"/>
      <c r="C51" s="839"/>
      <c r="D51" s="839"/>
      <c r="E51" s="839"/>
      <c r="F51" s="839"/>
      <c r="G51" s="839"/>
      <c r="H51" s="839"/>
      <c r="I51" s="839"/>
      <c r="J51" s="839"/>
      <c r="K51" s="839"/>
    </row>
  </sheetData>
  <sheetProtection password="9F6B" sheet="1" objects="1" scenarios="1" formatCells="0" formatColumns="0" formatRows="0"/>
  <mergeCells count="5">
    <mergeCell ref="C43:D43"/>
    <mergeCell ref="D10:E10"/>
    <mergeCell ref="E43:E44"/>
    <mergeCell ref="C14:E17"/>
    <mergeCell ref="C8:E8"/>
  </mergeCells>
  <pageMargins left="0.7" right="0.7" top="0.75" bottom="0.75" header="0.3" footer="0.3"/>
  <pageSetup scale="88" orientation="portrait" r:id="rId1"/>
  <headerFooter>
    <oddFooter>&amp;LForm 8F
Operating Pro Forma Details&amp;CCFA Forms&amp;REdition: 2015
Version: 1.1</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zoomScaleNormal="100" workbookViewId="0">
      <selection activeCell="O12" sqref="O12"/>
    </sheetView>
  </sheetViews>
  <sheetFormatPr defaultRowHeight="15" x14ac:dyDescent="0.25"/>
  <cols>
    <col min="1" max="2" width="1.7109375" style="844" customWidth="1"/>
    <col min="3" max="4" width="22.85546875" style="844" customWidth="1"/>
    <col min="5" max="6" width="5.7109375" style="844" customWidth="1"/>
    <col min="7" max="7" width="9.140625" style="844"/>
    <col min="8" max="8" width="22.85546875" style="844" customWidth="1"/>
    <col min="9" max="9" width="1.7109375" style="844" customWidth="1"/>
    <col min="10" max="16384" width="9.140625" style="844"/>
  </cols>
  <sheetData>
    <row r="1" spans="2:9" s="839" customFormat="1" ht="15.75" thickBot="1" x14ac:dyDescent="0.3"/>
    <row r="2" spans="2:9" s="839" customFormat="1" ht="9" customHeight="1" x14ac:dyDescent="0.25">
      <c r="B2" s="1394"/>
      <c r="C2" s="1395"/>
      <c r="D2" s="1395"/>
      <c r="E2" s="1395"/>
      <c r="F2" s="1395"/>
      <c r="G2" s="1395"/>
      <c r="H2" s="1395"/>
      <c r="I2" s="1396"/>
    </row>
    <row r="3" spans="2:9" s="839" customFormat="1" ht="18.75" x14ac:dyDescent="0.3">
      <c r="B3" s="1397"/>
      <c r="C3" s="2225" t="s">
        <v>484</v>
      </c>
      <c r="D3" s="2225"/>
      <c r="E3" s="2225"/>
      <c r="F3" s="2225"/>
      <c r="G3" s="2225"/>
      <c r="H3" s="2225"/>
      <c r="I3" s="1398"/>
    </row>
    <row r="4" spans="2:9" s="839" customFormat="1" ht="15" customHeight="1" x14ac:dyDescent="0.25">
      <c r="B4" s="1397"/>
      <c r="C4" s="1123"/>
      <c r="D4" s="354"/>
      <c r="E4" s="354"/>
      <c r="F4" s="354"/>
      <c r="G4" s="354"/>
      <c r="H4" s="354"/>
      <c r="I4" s="1398"/>
    </row>
    <row r="5" spans="2:9" s="839" customFormat="1" x14ac:dyDescent="0.25">
      <c r="B5" s="1399"/>
      <c r="C5" s="821" t="s">
        <v>1</v>
      </c>
      <c r="D5" s="2149" t="str">
        <f>IF('1A'!G5="","Enter Project Name on Form 1A",'1A'!G5)</f>
        <v>University District Apartments</v>
      </c>
      <c r="E5" s="2149"/>
      <c r="F5" s="2149"/>
      <c r="G5" s="2149"/>
      <c r="H5" s="2149"/>
      <c r="I5" s="1400"/>
    </row>
    <row r="6" spans="2:9" s="839" customFormat="1" ht="15" customHeight="1" thickBot="1" x14ac:dyDescent="0.3">
      <c r="B6" s="1397"/>
      <c r="C6" s="354"/>
      <c r="D6" s="354"/>
      <c r="E6" s="354"/>
      <c r="F6" s="354"/>
      <c r="G6" s="354"/>
      <c r="H6" s="354"/>
      <c r="I6" s="1398"/>
    </row>
    <row r="7" spans="2:9" s="839" customFormat="1" x14ac:dyDescent="0.25">
      <c r="B7" s="1397"/>
      <c r="C7" s="2566" t="s">
        <v>485</v>
      </c>
      <c r="D7" s="2567"/>
      <c r="E7" s="2567"/>
      <c r="F7" s="2567"/>
      <c r="G7" s="2567"/>
      <c r="H7" s="2568"/>
      <c r="I7" s="1398"/>
    </row>
    <row r="8" spans="2:9" s="839" customFormat="1" x14ac:dyDescent="0.25">
      <c r="B8" s="1397"/>
      <c r="C8" s="690" t="s">
        <v>486</v>
      </c>
      <c r="D8" s="2149" t="str">
        <f>IF('1A'!G8="","Enter Organization Name on Form 1A",'1A'!G8)</f>
        <v>Bellwether Housing</v>
      </c>
      <c r="E8" s="2149"/>
      <c r="F8" s="2149"/>
      <c r="G8" s="2149"/>
      <c r="H8" s="2579"/>
      <c r="I8" s="1398"/>
    </row>
    <row r="9" spans="2:9" s="839" customFormat="1" x14ac:dyDescent="0.25">
      <c r="B9" s="1397"/>
      <c r="C9" s="690" t="s">
        <v>487</v>
      </c>
      <c r="D9" s="2562" t="s">
        <v>1442</v>
      </c>
      <c r="E9" s="2562"/>
      <c r="F9" s="2562"/>
      <c r="G9" s="2562"/>
      <c r="H9" s="2563"/>
      <c r="I9" s="1398"/>
    </row>
    <row r="10" spans="2:9" s="839" customFormat="1" x14ac:dyDescent="0.25">
      <c r="B10" s="1397"/>
      <c r="C10" s="690" t="s">
        <v>14</v>
      </c>
      <c r="D10" s="795" t="s">
        <v>1436</v>
      </c>
      <c r="E10" s="354" t="s">
        <v>488</v>
      </c>
      <c r="F10" s="796" t="s">
        <v>1443</v>
      </c>
      <c r="G10" s="354" t="s">
        <v>489</v>
      </c>
      <c r="H10" s="691">
        <v>98122</v>
      </c>
      <c r="I10" s="1398"/>
    </row>
    <row r="11" spans="2:9" s="839" customFormat="1" x14ac:dyDescent="0.25">
      <c r="B11" s="1397"/>
      <c r="C11" s="690" t="s">
        <v>490</v>
      </c>
      <c r="D11" s="2564" t="s">
        <v>1444</v>
      </c>
      <c r="E11" s="2564"/>
      <c r="F11" s="2564"/>
      <c r="G11" s="2564"/>
      <c r="H11" s="2565"/>
      <c r="I11" s="1398"/>
    </row>
    <row r="12" spans="2:9" s="839" customFormat="1" x14ac:dyDescent="0.25">
      <c r="B12" s="1397"/>
      <c r="C12" s="700" t="s">
        <v>491</v>
      </c>
      <c r="D12" s="2569"/>
      <c r="E12" s="2569"/>
      <c r="F12" s="2569"/>
      <c r="G12" s="2569"/>
      <c r="H12" s="2570"/>
      <c r="I12" s="1398"/>
    </row>
    <row r="13" spans="2:9" x14ac:dyDescent="0.25">
      <c r="B13" s="1401"/>
      <c r="C13" s="601"/>
      <c r="D13" s="602"/>
      <c r="E13" s="603"/>
      <c r="F13" s="603"/>
      <c r="G13" s="603"/>
      <c r="H13" s="604"/>
      <c r="I13" s="1402"/>
    </row>
    <row r="14" spans="2:9" s="839" customFormat="1" ht="26.25" x14ac:dyDescent="0.25">
      <c r="B14" s="1397"/>
      <c r="C14" s="689" t="s">
        <v>492</v>
      </c>
      <c r="D14" s="2564" t="s">
        <v>1601</v>
      </c>
      <c r="E14" s="2564"/>
      <c r="F14" s="2564"/>
      <c r="G14" s="2564"/>
      <c r="H14" s="2565"/>
      <c r="I14" s="1398"/>
    </row>
    <row r="15" spans="2:9" s="839" customFormat="1" x14ac:dyDescent="0.25">
      <c r="B15" s="1397"/>
      <c r="C15" s="690" t="s">
        <v>5</v>
      </c>
      <c r="D15" s="2121" t="s">
        <v>1445</v>
      </c>
      <c r="E15" s="2121"/>
      <c r="F15" s="2121"/>
      <c r="G15" s="395" t="s">
        <v>493</v>
      </c>
      <c r="H15" s="691" t="s">
        <v>1446</v>
      </c>
      <c r="I15" s="1398"/>
    </row>
    <row r="16" spans="2:9" s="839" customFormat="1" x14ac:dyDescent="0.25">
      <c r="B16" s="1397"/>
      <c r="C16" s="690" t="s">
        <v>6</v>
      </c>
      <c r="D16" s="2564" t="s">
        <v>1447</v>
      </c>
      <c r="E16" s="2564"/>
      <c r="F16" s="2564"/>
      <c r="G16" s="2564"/>
      <c r="H16" s="2565"/>
      <c r="I16" s="1398"/>
    </row>
    <row r="17" spans="2:9" s="839" customFormat="1" x14ac:dyDescent="0.25">
      <c r="B17" s="1397"/>
      <c r="C17" s="692" t="s">
        <v>494</v>
      </c>
      <c r="D17" s="2575" t="str">
        <f>IF('1A'!G10="","Enter Contact Name on Form 1A",'1A'!G10)</f>
        <v>Richard Loo</v>
      </c>
      <c r="E17" s="2575"/>
      <c r="F17" s="2575"/>
      <c r="G17" s="2575"/>
      <c r="H17" s="2576"/>
      <c r="I17" s="1398"/>
    </row>
    <row r="18" spans="2:9" s="839" customFormat="1" x14ac:dyDescent="0.25">
      <c r="B18" s="1397"/>
      <c r="C18" s="690" t="s">
        <v>5</v>
      </c>
      <c r="D18" s="2578" t="str">
        <f>IF('1A'!G12="","Enter Phone Number on Form 1A",'1A'!G12)</f>
        <v>206-957-2729</v>
      </c>
      <c r="E18" s="2578"/>
      <c r="F18" s="2578"/>
      <c r="G18" s="395" t="s">
        <v>493</v>
      </c>
      <c r="H18" s="691"/>
      <c r="I18" s="1398"/>
    </row>
    <row r="19" spans="2:9" s="839" customFormat="1" x14ac:dyDescent="0.25">
      <c r="B19" s="1397"/>
      <c r="C19" s="690" t="s">
        <v>6</v>
      </c>
      <c r="D19" s="2361" t="str">
        <f>IF('1A'!J12="","Enter Email on Form 1A",'1A'!J12)</f>
        <v>rloo@bellwetherhousing.org</v>
      </c>
      <c r="E19" s="2361"/>
      <c r="F19" s="2361"/>
      <c r="G19" s="2361"/>
      <c r="H19" s="2577"/>
      <c r="I19" s="1398"/>
    </row>
    <row r="20" spans="2:9" s="839" customFormat="1" ht="15.75" thickBot="1" x14ac:dyDescent="0.3">
      <c r="B20" s="1397"/>
      <c r="C20" s="693"/>
      <c r="D20" s="696"/>
      <c r="E20" s="696"/>
      <c r="F20" s="696"/>
      <c r="G20" s="696"/>
      <c r="H20" s="697"/>
      <c r="I20" s="1398"/>
    </row>
    <row r="21" spans="2:9" s="839" customFormat="1" ht="7.5" customHeight="1" thickBot="1" x14ac:dyDescent="0.3">
      <c r="B21" s="1397"/>
      <c r="C21" s="354"/>
      <c r="D21" s="354"/>
      <c r="E21" s="354"/>
      <c r="F21" s="354"/>
      <c r="G21" s="354"/>
      <c r="H21" s="354"/>
      <c r="I21" s="1398"/>
    </row>
    <row r="22" spans="2:9" s="839" customFormat="1" x14ac:dyDescent="0.25">
      <c r="B22" s="1397"/>
      <c r="C22" s="2566" t="s">
        <v>495</v>
      </c>
      <c r="D22" s="2567"/>
      <c r="E22" s="2567"/>
      <c r="F22" s="2567"/>
      <c r="G22" s="2567"/>
      <c r="H22" s="2568"/>
      <c r="I22" s="1398"/>
    </row>
    <row r="23" spans="2:9" s="839" customFormat="1" x14ac:dyDescent="0.25">
      <c r="B23" s="1397"/>
      <c r="C23" s="690" t="s">
        <v>486</v>
      </c>
      <c r="D23" s="2361" t="str">
        <f>IF('1A'!G15="","Enter Firm Name on Form 1A, if applicable",'1A'!G15)</f>
        <v>N/A</v>
      </c>
      <c r="E23" s="2361"/>
      <c r="F23" s="2361"/>
      <c r="G23" s="2361"/>
      <c r="H23" s="2577"/>
      <c r="I23" s="1398"/>
    </row>
    <row r="24" spans="2:9" s="839" customFormat="1" x14ac:dyDescent="0.25">
      <c r="B24" s="1397"/>
      <c r="C24" s="692" t="s">
        <v>494</v>
      </c>
      <c r="D24" s="2575" t="str">
        <f>IF('1A'!G17="","Enter Contact Name on Form 1A",'1A'!G17)</f>
        <v>Enter Contact Name on Form 1A</v>
      </c>
      <c r="E24" s="2575"/>
      <c r="F24" s="2575"/>
      <c r="G24" s="2575"/>
      <c r="H24" s="2576"/>
      <c r="I24" s="1398"/>
    </row>
    <row r="25" spans="2:9" s="839" customFormat="1" x14ac:dyDescent="0.25">
      <c r="B25" s="1397"/>
      <c r="C25" s="690" t="s">
        <v>487</v>
      </c>
      <c r="D25" s="2562"/>
      <c r="E25" s="2562"/>
      <c r="F25" s="2562"/>
      <c r="G25" s="2562"/>
      <c r="H25" s="2563"/>
      <c r="I25" s="1398"/>
    </row>
    <row r="26" spans="2:9" s="839" customFormat="1" x14ac:dyDescent="0.25">
      <c r="B26" s="1397"/>
      <c r="C26" s="690" t="s">
        <v>14</v>
      </c>
      <c r="D26" s="795"/>
      <c r="E26" s="354" t="s">
        <v>488</v>
      </c>
      <c r="F26" s="796"/>
      <c r="G26" s="354" t="s">
        <v>489</v>
      </c>
      <c r="H26" s="694"/>
      <c r="I26" s="1398"/>
    </row>
    <row r="27" spans="2:9" s="839" customFormat="1" x14ac:dyDescent="0.25">
      <c r="B27" s="1397"/>
      <c r="C27" s="690" t="s">
        <v>5</v>
      </c>
      <c r="D27" s="2361" t="str">
        <f>IF('1A'!G19="","Enter Phone Number on Form 1A",'1A'!G19)</f>
        <v>Enter Phone Number on Form 1A</v>
      </c>
      <c r="E27" s="2361"/>
      <c r="F27" s="395" t="s">
        <v>493</v>
      </c>
      <c r="G27" s="2121"/>
      <c r="H27" s="2574"/>
      <c r="I27" s="1398"/>
    </row>
    <row r="28" spans="2:9" s="839" customFormat="1" x14ac:dyDescent="0.25">
      <c r="B28" s="1397"/>
      <c r="C28" s="690" t="s">
        <v>6</v>
      </c>
      <c r="D28" s="2361" t="str">
        <f>IF('1A'!J19="","Enter Email on Form 1A",'1A'!J19)</f>
        <v>Enter Email on Form 1A</v>
      </c>
      <c r="E28" s="2361"/>
      <c r="F28" s="2361"/>
      <c r="G28" s="2361"/>
      <c r="H28" s="2577"/>
      <c r="I28" s="1398"/>
    </row>
    <row r="29" spans="2:9" s="839" customFormat="1" ht="15.75" thickBot="1" x14ac:dyDescent="0.3">
      <c r="B29" s="1397"/>
      <c r="C29" s="693"/>
      <c r="D29" s="696"/>
      <c r="E29" s="696"/>
      <c r="F29" s="696"/>
      <c r="G29" s="696"/>
      <c r="H29" s="697"/>
      <c r="I29" s="1398"/>
    </row>
    <row r="30" spans="2:9" s="839" customFormat="1" ht="7.5" customHeight="1" thickBot="1" x14ac:dyDescent="0.3">
      <c r="B30" s="1397"/>
      <c r="C30" s="695"/>
      <c r="D30" s="354"/>
      <c r="E30" s="354"/>
      <c r="F30" s="354"/>
      <c r="G30" s="354"/>
      <c r="H30" s="354"/>
      <c r="I30" s="1398"/>
    </row>
    <row r="31" spans="2:9" s="839" customFormat="1" x14ac:dyDescent="0.25">
      <c r="B31" s="1397"/>
      <c r="C31" s="2566" t="s">
        <v>194</v>
      </c>
      <c r="D31" s="2567"/>
      <c r="E31" s="2567"/>
      <c r="F31" s="2567"/>
      <c r="G31" s="2567"/>
      <c r="H31" s="2568"/>
      <c r="I31" s="1398"/>
    </row>
    <row r="32" spans="2:9" s="839" customFormat="1" x14ac:dyDescent="0.25">
      <c r="B32" s="1397"/>
      <c r="C32" s="690" t="s">
        <v>486</v>
      </c>
      <c r="D32" s="2564" t="s">
        <v>1448</v>
      </c>
      <c r="E32" s="2564"/>
      <c r="F32" s="2564"/>
      <c r="G32" s="2564"/>
      <c r="H32" s="2565"/>
      <c r="I32" s="1398"/>
    </row>
    <row r="33" spans="2:9" s="839" customFormat="1" x14ac:dyDescent="0.25">
      <c r="B33" s="1397"/>
      <c r="C33" s="692" t="s">
        <v>494</v>
      </c>
      <c r="D33" s="2562" t="s">
        <v>1449</v>
      </c>
      <c r="E33" s="2562"/>
      <c r="F33" s="2562"/>
      <c r="G33" s="2562"/>
      <c r="H33" s="2563"/>
      <c r="I33" s="1398"/>
    </row>
    <row r="34" spans="2:9" s="839" customFormat="1" x14ac:dyDescent="0.25">
      <c r="B34" s="1397"/>
      <c r="C34" s="690" t="s">
        <v>5</v>
      </c>
      <c r="D34" s="794" t="s">
        <v>1450</v>
      </c>
      <c r="E34" s="354" t="s">
        <v>6</v>
      </c>
      <c r="F34" s="2564" t="s">
        <v>1451</v>
      </c>
      <c r="G34" s="2564"/>
      <c r="H34" s="2565"/>
      <c r="I34" s="1398"/>
    </row>
    <row r="35" spans="2:9" s="839" customFormat="1" ht="15.75" thickBot="1" x14ac:dyDescent="0.3">
      <c r="B35" s="1397"/>
      <c r="C35" s="693"/>
      <c r="D35" s="696"/>
      <c r="E35" s="696"/>
      <c r="F35" s="696"/>
      <c r="G35" s="696"/>
      <c r="H35" s="697"/>
      <c r="I35" s="1398"/>
    </row>
    <row r="36" spans="2:9" s="839" customFormat="1" ht="7.5" customHeight="1" thickBot="1" x14ac:dyDescent="0.3">
      <c r="B36" s="1397"/>
      <c r="C36" s="354"/>
      <c r="D36" s="354"/>
      <c r="E36" s="354"/>
      <c r="F36" s="354"/>
      <c r="G36" s="354"/>
      <c r="H36" s="354"/>
      <c r="I36" s="1398"/>
    </row>
    <row r="37" spans="2:9" s="839" customFormat="1" x14ac:dyDescent="0.25">
      <c r="B37" s="1397"/>
      <c r="C37" s="2566" t="s">
        <v>496</v>
      </c>
      <c r="D37" s="2567"/>
      <c r="E37" s="2567"/>
      <c r="F37" s="2567"/>
      <c r="G37" s="2567"/>
      <c r="H37" s="2568"/>
      <c r="I37" s="1398"/>
    </row>
    <row r="38" spans="2:9" s="839" customFormat="1" x14ac:dyDescent="0.25">
      <c r="B38" s="1397"/>
      <c r="C38" s="690" t="s">
        <v>486</v>
      </c>
      <c r="D38" s="2564" t="s">
        <v>1452</v>
      </c>
      <c r="E38" s="2564"/>
      <c r="F38" s="2564"/>
      <c r="G38" s="2564"/>
      <c r="H38" s="2565"/>
      <c r="I38" s="1398"/>
    </row>
    <row r="39" spans="2:9" s="839" customFormat="1" x14ac:dyDescent="0.25">
      <c r="B39" s="1397"/>
      <c r="C39" s="692" t="s">
        <v>494</v>
      </c>
      <c r="D39" s="2562" t="s">
        <v>1453</v>
      </c>
      <c r="E39" s="2562"/>
      <c r="F39" s="2562"/>
      <c r="G39" s="2562"/>
      <c r="H39" s="2563"/>
      <c r="I39" s="1398"/>
    </row>
    <row r="40" spans="2:9" s="839" customFormat="1" x14ac:dyDescent="0.25">
      <c r="B40" s="1397"/>
      <c r="C40" s="690" t="s">
        <v>5</v>
      </c>
      <c r="D40" s="794" t="s">
        <v>1454</v>
      </c>
      <c r="E40" s="354" t="s">
        <v>6</v>
      </c>
      <c r="F40" s="2564" t="s">
        <v>1455</v>
      </c>
      <c r="G40" s="2564"/>
      <c r="H40" s="2565"/>
      <c r="I40" s="1398"/>
    </row>
    <row r="41" spans="2:9" s="839" customFormat="1" ht="15.75" thickBot="1" x14ac:dyDescent="0.3">
      <c r="B41" s="1397"/>
      <c r="C41" s="693"/>
      <c r="D41" s="696"/>
      <c r="E41" s="696"/>
      <c r="F41" s="696"/>
      <c r="G41" s="696"/>
      <c r="H41" s="697"/>
      <c r="I41" s="1398"/>
    </row>
    <row r="42" spans="2:9" s="839" customFormat="1" ht="9" customHeight="1" thickBot="1" x14ac:dyDescent="0.3">
      <c r="B42" s="1397"/>
      <c r="C42" s="698"/>
      <c r="D42" s="698"/>
      <c r="E42" s="698"/>
      <c r="F42" s="698"/>
      <c r="G42" s="698"/>
      <c r="H42" s="698"/>
      <c r="I42" s="1398"/>
    </row>
    <row r="43" spans="2:9" s="839" customFormat="1" x14ac:dyDescent="0.25">
      <c r="B43" s="1397"/>
      <c r="C43" s="2566" t="s">
        <v>497</v>
      </c>
      <c r="D43" s="2573"/>
      <c r="E43" s="2573"/>
      <c r="F43" s="2573"/>
      <c r="G43" s="2573"/>
      <c r="H43" s="2568"/>
      <c r="I43" s="1398"/>
    </row>
    <row r="44" spans="2:9" s="839" customFormat="1" x14ac:dyDescent="0.25">
      <c r="B44" s="1397"/>
      <c r="C44" s="690" t="s">
        <v>486</v>
      </c>
      <c r="D44" s="2564" t="s">
        <v>1456</v>
      </c>
      <c r="E44" s="2564"/>
      <c r="F44" s="2564"/>
      <c r="G44" s="2564"/>
      <c r="H44" s="2565"/>
      <c r="I44" s="1398"/>
    </row>
    <row r="45" spans="2:9" s="839" customFormat="1" x14ac:dyDescent="0.25">
      <c r="B45" s="1397"/>
      <c r="C45" s="692" t="s">
        <v>494</v>
      </c>
      <c r="D45" s="2571" t="s">
        <v>1457</v>
      </c>
      <c r="E45" s="2571"/>
      <c r="F45" s="2571"/>
      <c r="G45" s="2571"/>
      <c r="H45" s="2572"/>
      <c r="I45" s="1398"/>
    </row>
    <row r="46" spans="2:9" s="839" customFormat="1" x14ac:dyDescent="0.25">
      <c r="B46" s="1397"/>
      <c r="C46" s="690" t="s">
        <v>5</v>
      </c>
      <c r="D46" s="797" t="s">
        <v>1458</v>
      </c>
      <c r="E46" s="354" t="s">
        <v>6</v>
      </c>
      <c r="F46" s="2564" t="s">
        <v>1459</v>
      </c>
      <c r="G46" s="2564"/>
      <c r="H46" s="2565"/>
      <c r="I46" s="1398"/>
    </row>
    <row r="47" spans="2:9" s="839" customFormat="1" ht="15.75" thickBot="1" x14ac:dyDescent="0.3">
      <c r="B47" s="1397"/>
      <c r="C47" s="693"/>
      <c r="D47" s="762"/>
      <c r="E47" s="762"/>
      <c r="F47" s="762"/>
      <c r="G47" s="762"/>
      <c r="H47" s="763"/>
      <c r="I47" s="1398"/>
    </row>
    <row r="48" spans="2:9" s="839" customFormat="1" ht="7.5" customHeight="1" thickBot="1" x14ac:dyDescent="0.3">
      <c r="B48" s="1367"/>
      <c r="C48" s="698"/>
      <c r="D48" s="698"/>
      <c r="E48" s="698"/>
      <c r="F48" s="698"/>
      <c r="G48" s="698"/>
      <c r="H48" s="698"/>
      <c r="I48" s="1368"/>
    </row>
    <row r="49" spans="2:9" s="839" customFormat="1" ht="9" customHeight="1" x14ac:dyDescent="0.25">
      <c r="B49" s="1394"/>
      <c r="C49" s="1395"/>
      <c r="D49" s="1395"/>
      <c r="E49" s="1395"/>
      <c r="F49" s="1395"/>
      <c r="G49" s="1395"/>
      <c r="H49" s="1395"/>
      <c r="I49" s="1396"/>
    </row>
    <row r="50" spans="2:9" s="839" customFormat="1" ht="18.75" x14ac:dyDescent="0.3">
      <c r="B50" s="1397"/>
      <c r="C50" s="2225" t="s">
        <v>1069</v>
      </c>
      <c r="D50" s="2225"/>
      <c r="E50" s="2225"/>
      <c r="F50" s="2225"/>
      <c r="G50" s="2225"/>
      <c r="H50" s="2225"/>
      <c r="I50" s="1398"/>
    </row>
    <row r="51" spans="2:9" s="839" customFormat="1" ht="15" customHeight="1" x14ac:dyDescent="0.25">
      <c r="B51" s="1397"/>
      <c r="C51" s="1123"/>
      <c r="D51" s="354"/>
      <c r="E51" s="354"/>
      <c r="F51" s="354"/>
      <c r="G51" s="354"/>
      <c r="H51" s="354"/>
      <c r="I51" s="1398"/>
    </row>
    <row r="52" spans="2:9" s="839" customFormat="1" x14ac:dyDescent="0.25">
      <c r="B52" s="1399"/>
      <c r="C52" s="821" t="s">
        <v>1</v>
      </c>
      <c r="D52" s="2149" t="str">
        <f>IF('1A'!G5="","Enter Project Name on Form 1A",'1A'!G5)</f>
        <v>University District Apartments</v>
      </c>
      <c r="E52" s="2149"/>
      <c r="F52" s="2149"/>
      <c r="G52" s="2149"/>
      <c r="H52" s="2149"/>
      <c r="I52" s="1400"/>
    </row>
    <row r="53" spans="2:9" s="839" customFormat="1" ht="15" customHeight="1" thickBot="1" x14ac:dyDescent="0.3">
      <c r="B53" s="1397"/>
      <c r="C53" s="354"/>
      <c r="D53" s="354"/>
      <c r="E53" s="354"/>
      <c r="F53" s="354"/>
      <c r="G53" s="354"/>
      <c r="H53" s="354"/>
      <c r="I53" s="1398"/>
    </row>
    <row r="54" spans="2:9" s="839" customFormat="1" x14ac:dyDescent="0.25">
      <c r="B54" s="1397"/>
      <c r="C54" s="2566" t="s">
        <v>498</v>
      </c>
      <c r="D54" s="2567"/>
      <c r="E54" s="2567"/>
      <c r="F54" s="2567"/>
      <c r="G54" s="2567"/>
      <c r="H54" s="2568"/>
      <c r="I54" s="1398"/>
    </row>
    <row r="55" spans="2:9" s="839" customFormat="1" x14ac:dyDescent="0.25">
      <c r="B55" s="1397"/>
      <c r="C55" s="690" t="s">
        <v>486</v>
      </c>
      <c r="D55" s="2564" t="s">
        <v>1430</v>
      </c>
      <c r="E55" s="2564"/>
      <c r="F55" s="2564"/>
      <c r="G55" s="2564"/>
      <c r="H55" s="2565"/>
      <c r="I55" s="1398"/>
    </row>
    <row r="56" spans="2:9" s="839" customFormat="1" x14ac:dyDescent="0.25">
      <c r="B56" s="1397"/>
      <c r="C56" s="692" t="s">
        <v>494</v>
      </c>
      <c r="D56" s="2562" t="s">
        <v>1460</v>
      </c>
      <c r="E56" s="2562"/>
      <c r="F56" s="2562"/>
      <c r="G56" s="2562"/>
      <c r="H56" s="2563"/>
      <c r="I56" s="1398"/>
    </row>
    <row r="57" spans="2:9" s="839" customFormat="1" x14ac:dyDescent="0.25">
      <c r="B57" s="1397"/>
      <c r="C57" s="690" t="s">
        <v>487</v>
      </c>
      <c r="D57" s="2562" t="s">
        <v>1442</v>
      </c>
      <c r="E57" s="2562"/>
      <c r="F57" s="2562"/>
      <c r="G57" s="2562"/>
      <c r="H57" s="2563"/>
      <c r="I57" s="1398"/>
    </row>
    <row r="58" spans="2:9" s="839" customFormat="1" x14ac:dyDescent="0.25">
      <c r="B58" s="1397"/>
      <c r="C58" s="690" t="s">
        <v>14</v>
      </c>
      <c r="D58" s="795" t="s">
        <v>1436</v>
      </c>
      <c r="E58" s="354" t="s">
        <v>488</v>
      </c>
      <c r="F58" s="796" t="s">
        <v>1443</v>
      </c>
      <c r="G58" s="354" t="s">
        <v>489</v>
      </c>
      <c r="H58" s="691">
        <v>98122</v>
      </c>
      <c r="I58" s="1398"/>
    </row>
    <row r="59" spans="2:9" s="839" customFormat="1" x14ac:dyDescent="0.25">
      <c r="B59" s="1397"/>
      <c r="C59" s="690" t="s">
        <v>5</v>
      </c>
      <c r="D59" s="794" t="s">
        <v>1461</v>
      </c>
      <c r="E59" s="354" t="s">
        <v>6</v>
      </c>
      <c r="F59" s="2564" t="s">
        <v>1462</v>
      </c>
      <c r="G59" s="2564"/>
      <c r="H59" s="2565"/>
      <c r="I59" s="1398"/>
    </row>
    <row r="60" spans="2:9" s="839" customFormat="1" ht="15.75" thickBot="1" x14ac:dyDescent="0.3">
      <c r="B60" s="1399"/>
      <c r="C60" s="693"/>
      <c r="D60" s="696"/>
      <c r="E60" s="696"/>
      <c r="F60" s="696"/>
      <c r="G60" s="696"/>
      <c r="H60" s="697"/>
      <c r="I60" s="1400"/>
    </row>
    <row r="61" spans="2:9" s="839" customFormat="1" ht="7.5" customHeight="1" thickBot="1" x14ac:dyDescent="0.3">
      <c r="B61" s="1397"/>
      <c r="C61" s="699"/>
      <c r="D61" s="401"/>
      <c r="E61" s="401"/>
      <c r="F61" s="401"/>
      <c r="G61" s="401"/>
      <c r="H61" s="699"/>
      <c r="I61" s="1398"/>
    </row>
    <row r="62" spans="2:9" s="839" customFormat="1" x14ac:dyDescent="0.25">
      <c r="B62" s="1397"/>
      <c r="C62" s="2566" t="s">
        <v>499</v>
      </c>
      <c r="D62" s="2567"/>
      <c r="E62" s="2567"/>
      <c r="F62" s="2567"/>
      <c r="G62" s="2567"/>
      <c r="H62" s="2568"/>
      <c r="I62" s="1398"/>
    </row>
    <row r="63" spans="2:9" s="839" customFormat="1" x14ac:dyDescent="0.25">
      <c r="B63" s="1397"/>
      <c r="C63" s="690" t="s">
        <v>486</v>
      </c>
      <c r="D63" s="2564" t="s">
        <v>1463</v>
      </c>
      <c r="E63" s="2564"/>
      <c r="F63" s="2564"/>
      <c r="G63" s="2564"/>
      <c r="H63" s="2565"/>
      <c r="I63" s="1398"/>
    </row>
    <row r="64" spans="2:9" s="839" customFormat="1" x14ac:dyDescent="0.25">
      <c r="B64" s="1397"/>
      <c r="C64" s="692" t="s">
        <v>494</v>
      </c>
      <c r="D64" s="2562" t="s">
        <v>1464</v>
      </c>
      <c r="E64" s="2562"/>
      <c r="F64" s="2562"/>
      <c r="G64" s="2562"/>
      <c r="H64" s="2563"/>
      <c r="I64" s="1398"/>
    </row>
    <row r="65" spans="2:9" s="839" customFormat="1" x14ac:dyDescent="0.25">
      <c r="B65" s="1397"/>
      <c r="C65" s="690" t="s">
        <v>5</v>
      </c>
      <c r="D65" s="794" t="s">
        <v>1465</v>
      </c>
      <c r="E65" s="354" t="s">
        <v>6</v>
      </c>
      <c r="F65" s="2564" t="s">
        <v>1466</v>
      </c>
      <c r="G65" s="2564"/>
      <c r="H65" s="2565"/>
      <c r="I65" s="1398"/>
    </row>
    <row r="66" spans="2:9" s="839" customFormat="1" ht="15.75" thickBot="1" x14ac:dyDescent="0.3">
      <c r="B66" s="1397"/>
      <c r="C66" s="693"/>
      <c r="D66" s="696"/>
      <c r="E66" s="696"/>
      <c r="F66" s="696"/>
      <c r="G66" s="696"/>
      <c r="H66" s="697"/>
      <c r="I66" s="1398"/>
    </row>
    <row r="67" spans="2:9" s="839" customFormat="1" ht="7.5" customHeight="1" thickBot="1" x14ac:dyDescent="0.3">
      <c r="B67" s="1397"/>
      <c r="C67" s="354"/>
      <c r="D67" s="354"/>
      <c r="E67" s="354"/>
      <c r="F67" s="354"/>
      <c r="G67" s="354"/>
      <c r="H67" s="354"/>
      <c r="I67" s="1398"/>
    </row>
    <row r="68" spans="2:9" s="839" customFormat="1" x14ac:dyDescent="0.25">
      <c r="B68" s="1397"/>
      <c r="C68" s="2566" t="s">
        <v>500</v>
      </c>
      <c r="D68" s="2567"/>
      <c r="E68" s="2567"/>
      <c r="F68" s="2567"/>
      <c r="G68" s="2567"/>
      <c r="H68" s="2568"/>
      <c r="I68" s="1398"/>
    </row>
    <row r="69" spans="2:9" s="839" customFormat="1" x14ac:dyDescent="0.25">
      <c r="B69" s="1397"/>
      <c r="C69" s="690" t="s">
        <v>486</v>
      </c>
      <c r="D69" s="2564" t="s">
        <v>1467</v>
      </c>
      <c r="E69" s="2564"/>
      <c r="F69" s="2564"/>
      <c r="G69" s="2564"/>
      <c r="H69" s="2565"/>
      <c r="I69" s="1398"/>
    </row>
    <row r="70" spans="2:9" s="839" customFormat="1" x14ac:dyDescent="0.25">
      <c r="B70" s="1397"/>
      <c r="C70" s="692" t="s">
        <v>494</v>
      </c>
      <c r="D70" s="2562" t="s">
        <v>1468</v>
      </c>
      <c r="E70" s="2562"/>
      <c r="F70" s="2562"/>
      <c r="G70" s="2562"/>
      <c r="H70" s="2563"/>
      <c r="I70" s="1398"/>
    </row>
    <row r="71" spans="2:9" s="839" customFormat="1" x14ac:dyDescent="0.25">
      <c r="B71" s="1397"/>
      <c r="C71" s="690" t="s">
        <v>5</v>
      </c>
      <c r="D71" s="794" t="s">
        <v>1469</v>
      </c>
      <c r="E71" s="354" t="s">
        <v>6</v>
      </c>
      <c r="F71" s="2564" t="s">
        <v>1470</v>
      </c>
      <c r="G71" s="2564"/>
      <c r="H71" s="2565"/>
      <c r="I71" s="1398"/>
    </row>
    <row r="72" spans="2:9" s="839" customFormat="1" ht="15.75" thickBot="1" x14ac:dyDescent="0.3">
      <c r="B72" s="1397"/>
      <c r="C72" s="693"/>
      <c r="D72" s="696"/>
      <c r="E72" s="696"/>
      <c r="F72" s="696"/>
      <c r="G72" s="696"/>
      <c r="H72" s="697"/>
      <c r="I72" s="1398"/>
    </row>
    <row r="73" spans="2:9" s="839" customFormat="1" ht="7.5" customHeight="1" thickBot="1" x14ac:dyDescent="0.3">
      <c r="B73" s="1397"/>
      <c r="C73" s="354"/>
      <c r="D73" s="354"/>
      <c r="E73" s="354"/>
      <c r="F73" s="354"/>
      <c r="G73" s="354"/>
      <c r="H73" s="354"/>
      <c r="I73" s="1398"/>
    </row>
    <row r="74" spans="2:9" s="839" customFormat="1" x14ac:dyDescent="0.25">
      <c r="B74" s="1397"/>
      <c r="C74" s="2566" t="s">
        <v>501</v>
      </c>
      <c r="D74" s="2567"/>
      <c r="E74" s="2567"/>
      <c r="F74" s="2567"/>
      <c r="G74" s="2567"/>
      <c r="H74" s="2568"/>
      <c r="I74" s="1398"/>
    </row>
    <row r="75" spans="2:9" s="839" customFormat="1" x14ac:dyDescent="0.25">
      <c r="B75" s="1397"/>
      <c r="C75" s="690" t="s">
        <v>486</v>
      </c>
      <c r="D75" s="2564" t="s">
        <v>1471</v>
      </c>
      <c r="E75" s="2564"/>
      <c r="F75" s="2564"/>
      <c r="G75" s="2564"/>
      <c r="H75" s="2565"/>
      <c r="I75" s="1398"/>
    </row>
    <row r="76" spans="2:9" s="839" customFormat="1" x14ac:dyDescent="0.25">
      <c r="B76" s="1397"/>
      <c r="C76" s="692" t="s">
        <v>494</v>
      </c>
      <c r="D76" s="2562" t="s">
        <v>1472</v>
      </c>
      <c r="E76" s="2562"/>
      <c r="F76" s="2562"/>
      <c r="G76" s="2562"/>
      <c r="H76" s="2563"/>
      <c r="I76" s="1398"/>
    </row>
    <row r="77" spans="2:9" s="839" customFormat="1" x14ac:dyDescent="0.25">
      <c r="B77" s="1397"/>
      <c r="C77" s="690" t="s">
        <v>487</v>
      </c>
      <c r="D77" s="2562" t="s">
        <v>1473</v>
      </c>
      <c r="E77" s="2562"/>
      <c r="F77" s="2562"/>
      <c r="G77" s="2562"/>
      <c r="H77" s="2563"/>
      <c r="I77" s="1398"/>
    </row>
    <row r="78" spans="2:9" s="839" customFormat="1" x14ac:dyDescent="0.25">
      <c r="B78" s="1397"/>
      <c r="C78" s="690" t="s">
        <v>14</v>
      </c>
      <c r="D78" s="795" t="s">
        <v>1436</v>
      </c>
      <c r="E78" s="354" t="s">
        <v>488</v>
      </c>
      <c r="F78" s="796" t="s">
        <v>1443</v>
      </c>
      <c r="G78" s="354" t="s">
        <v>489</v>
      </c>
      <c r="H78" s="691">
        <v>98105</v>
      </c>
      <c r="I78" s="1398"/>
    </row>
    <row r="79" spans="2:9" s="839" customFormat="1" x14ac:dyDescent="0.25">
      <c r="B79" s="1397"/>
      <c r="C79" s="690" t="s">
        <v>5</v>
      </c>
      <c r="D79" s="794" t="s">
        <v>1474</v>
      </c>
      <c r="E79" s="354" t="s">
        <v>6</v>
      </c>
      <c r="F79" s="2564" t="s">
        <v>1475</v>
      </c>
      <c r="G79" s="2564"/>
      <c r="H79" s="2565"/>
      <c r="I79" s="1398"/>
    </row>
    <row r="80" spans="2:9" s="839" customFormat="1" ht="15.75" thickBot="1" x14ac:dyDescent="0.3">
      <c r="B80" s="1397"/>
      <c r="C80" s="693"/>
      <c r="D80" s="696"/>
      <c r="E80" s="696"/>
      <c r="F80" s="696"/>
      <c r="G80" s="696"/>
      <c r="H80" s="697"/>
      <c r="I80" s="1398"/>
    </row>
    <row r="81" spans="2:9" s="839" customFormat="1" ht="9" customHeight="1" thickBot="1" x14ac:dyDescent="0.3">
      <c r="B81" s="1367"/>
      <c r="C81" s="698"/>
      <c r="D81" s="698"/>
      <c r="E81" s="698"/>
      <c r="F81" s="698"/>
      <c r="G81" s="698"/>
      <c r="H81" s="698"/>
      <c r="I81" s="1368"/>
    </row>
  </sheetData>
  <sheetProtection password="9F6B" sheet="1" objects="1" scenarios="1" formatCells="0" formatColumns="0" formatRows="0"/>
  <mergeCells count="52">
    <mergeCell ref="D5:H5"/>
    <mergeCell ref="D17:H17"/>
    <mergeCell ref="D18:F18"/>
    <mergeCell ref="D19:H19"/>
    <mergeCell ref="D23:H23"/>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2015
Version: 1.1</oddFooter>
  </headerFooter>
  <rowBreaks count="1" manualBreakCount="1">
    <brk id="48" min="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Y41"/>
  <sheetViews>
    <sheetView showGridLines="0" zoomScaleNormal="100" workbookViewId="0">
      <selection activeCell="G17" sqref="E17:G17"/>
    </sheetView>
  </sheetViews>
  <sheetFormatPr defaultRowHeight="15" x14ac:dyDescent="0.25"/>
  <cols>
    <col min="1" max="1" width="1.7109375" style="844" customWidth="1"/>
    <col min="2" max="2" width="1.7109375" style="839" customWidth="1"/>
    <col min="3" max="3" width="14.28515625" style="844" customWidth="1"/>
    <col min="4" max="4" width="30" style="844" customWidth="1"/>
    <col min="5" max="24" width="3.5703125" style="844" customWidth="1"/>
    <col min="25" max="25" width="1.7109375" style="839" customWidth="1"/>
    <col min="26" max="16384" width="9.140625" style="844"/>
  </cols>
  <sheetData>
    <row r="6" spans="2:25" ht="15.75" thickBot="1" x14ac:dyDescent="0.3"/>
    <row r="7" spans="2:25" s="839" customFormat="1" ht="9" customHeight="1" x14ac:dyDescent="0.3">
      <c r="B7" s="386"/>
      <c r="C7" s="2580"/>
      <c r="D7" s="2580"/>
      <c r="E7" s="2581"/>
      <c r="F7" s="2581"/>
      <c r="G7" s="2581"/>
      <c r="H7" s="2581"/>
      <c r="I7" s="2581"/>
      <c r="J7" s="2581"/>
      <c r="K7" s="2581"/>
      <c r="L7" s="2581"/>
      <c r="M7" s="2581"/>
      <c r="N7" s="2581"/>
      <c r="O7" s="2581"/>
      <c r="P7" s="2581"/>
      <c r="Q7" s="2581"/>
      <c r="R7" s="2581"/>
      <c r="S7" s="2581"/>
      <c r="T7" s="2581"/>
      <c r="U7" s="2581"/>
      <c r="V7" s="2581"/>
      <c r="W7" s="2581"/>
      <c r="X7" s="2581"/>
      <c r="Y7" s="2582"/>
    </row>
    <row r="8" spans="2:25" s="839" customFormat="1" ht="18.75" x14ac:dyDescent="0.3">
      <c r="B8" s="394"/>
      <c r="C8" s="1649" t="s">
        <v>502</v>
      </c>
      <c r="D8" s="1729"/>
      <c r="E8" s="1730"/>
      <c r="F8" s="1730"/>
      <c r="G8" s="1730"/>
      <c r="H8" s="1730"/>
      <c r="I8" s="1730"/>
      <c r="J8" s="1730"/>
      <c r="K8" s="1730"/>
      <c r="L8" s="1730"/>
      <c r="M8" s="1730"/>
      <c r="N8" s="1730"/>
      <c r="O8" s="1730"/>
      <c r="P8" s="1730"/>
      <c r="Q8" s="1730"/>
      <c r="R8" s="1730"/>
      <c r="S8" s="1730"/>
      <c r="T8" s="1730"/>
      <c r="U8" s="1730"/>
      <c r="V8" s="1730"/>
      <c r="W8" s="1730"/>
      <c r="X8" s="1730"/>
      <c r="Y8" s="1404"/>
    </row>
    <row r="9" spans="2:25" s="839" customFormat="1" ht="18.75" x14ac:dyDescent="0.3">
      <c r="B9" s="394"/>
      <c r="C9" s="1405"/>
      <c r="D9" s="1405"/>
      <c r="E9" s="1406"/>
      <c r="F9" s="1406"/>
      <c r="G9" s="1406"/>
      <c r="H9" s="1406"/>
      <c r="I9" s="1406"/>
      <c r="J9" s="1406"/>
      <c r="K9" s="1406"/>
      <c r="L9" s="1406"/>
      <c r="M9" s="1406"/>
      <c r="N9" s="1406"/>
      <c r="O9" s="1406"/>
      <c r="P9" s="1406"/>
      <c r="Q9" s="1406"/>
      <c r="R9" s="1406"/>
      <c r="S9" s="1406"/>
      <c r="T9" s="1406"/>
      <c r="U9" s="1406"/>
      <c r="V9" s="1406"/>
      <c r="W9" s="1406"/>
      <c r="X9" s="1406"/>
      <c r="Y9" s="1404"/>
    </row>
    <row r="10" spans="2:25" s="839" customFormat="1" x14ac:dyDescent="0.25">
      <c r="B10" s="394"/>
      <c r="C10" s="1123" t="s">
        <v>1</v>
      </c>
      <c r="D10" s="1122" t="str">
        <f>IF('1A'!G5="","Enter Project Name on Form 1A",'1A'!G5)</f>
        <v>University District Apartments</v>
      </c>
      <c r="E10" s="1122"/>
      <c r="F10" s="1122"/>
      <c r="G10" s="1122"/>
      <c r="H10" s="1122"/>
      <c r="I10" s="1122"/>
      <c r="J10" s="1122"/>
      <c r="K10" s="1122"/>
      <c r="L10" s="1122"/>
      <c r="M10" s="1122"/>
      <c r="N10" s="1122"/>
      <c r="O10" s="1122"/>
      <c r="P10" s="354"/>
      <c r="Q10" s="354"/>
      <c r="R10" s="354"/>
      <c r="S10" s="354"/>
      <c r="T10" s="354"/>
      <c r="U10" s="354"/>
      <c r="V10" s="354"/>
      <c r="W10" s="354"/>
      <c r="X10" s="354"/>
      <c r="Y10" s="355"/>
    </row>
    <row r="11" spans="2:25" s="839" customFormat="1" ht="7.5" customHeight="1" x14ac:dyDescent="0.25">
      <c r="B11" s="394"/>
      <c r="C11" s="1123"/>
      <c r="D11" s="1123"/>
      <c r="E11" s="1123"/>
      <c r="F11" s="1123"/>
      <c r="G11" s="1123"/>
      <c r="H11" s="1123"/>
      <c r="I11" s="1123"/>
      <c r="J11" s="1123"/>
      <c r="K11" s="1123"/>
      <c r="L11" s="1123"/>
      <c r="M11" s="1123"/>
      <c r="N11" s="1123"/>
      <c r="O11" s="1123"/>
      <c r="P11" s="354"/>
      <c r="Q11" s="354"/>
      <c r="R11" s="354"/>
      <c r="S11" s="354"/>
      <c r="T11" s="354"/>
      <c r="U11" s="354"/>
      <c r="V11" s="354"/>
      <c r="W11" s="354"/>
      <c r="X11" s="354"/>
      <c r="Y11" s="355"/>
    </row>
    <row r="12" spans="2:25" ht="117.75" customHeight="1" x14ac:dyDescent="0.25">
      <c r="B12" s="394"/>
      <c r="C12" s="2589"/>
      <c r="D12" s="2590"/>
      <c r="E12" s="1717" t="s">
        <v>503</v>
      </c>
      <c r="F12" s="2583" t="s">
        <v>504</v>
      </c>
      <c r="G12" s="2583" t="s">
        <v>505</v>
      </c>
      <c r="H12" s="2583" t="s">
        <v>506</v>
      </c>
      <c r="I12" s="2583" t="s">
        <v>507</v>
      </c>
      <c r="J12" s="2586" t="s">
        <v>508</v>
      </c>
      <c r="K12" s="2583" t="s">
        <v>509</v>
      </c>
      <c r="L12" s="2583" t="s">
        <v>510</v>
      </c>
      <c r="M12" s="2583" t="s">
        <v>511</v>
      </c>
      <c r="N12" s="2583" t="s">
        <v>512</v>
      </c>
      <c r="O12" s="2583" t="s">
        <v>513</v>
      </c>
      <c r="P12" s="2583" t="s">
        <v>514</v>
      </c>
      <c r="Q12" s="2583" t="s">
        <v>515</v>
      </c>
      <c r="R12" s="2583" t="s">
        <v>516</v>
      </c>
      <c r="S12" s="2583" t="s">
        <v>517</v>
      </c>
      <c r="T12" s="2583" t="s">
        <v>518</v>
      </c>
      <c r="U12" s="2583" t="s">
        <v>519</v>
      </c>
      <c r="V12" s="2583" t="s">
        <v>520</v>
      </c>
      <c r="W12" s="2583" t="s">
        <v>521</v>
      </c>
      <c r="X12" s="2593"/>
      <c r="Y12" s="355"/>
    </row>
    <row r="13" spans="2:25" x14ac:dyDescent="0.25">
      <c r="B13" s="394"/>
      <c r="C13" s="1722" t="s">
        <v>522</v>
      </c>
      <c r="D13" s="1723"/>
      <c r="E13" s="1718" t="s">
        <v>1441</v>
      </c>
      <c r="F13" s="2584"/>
      <c r="G13" s="2585"/>
      <c r="H13" s="2585"/>
      <c r="I13" s="2585"/>
      <c r="J13" s="2587"/>
      <c r="K13" s="2585"/>
      <c r="L13" s="2585"/>
      <c r="M13" s="2585"/>
      <c r="N13" s="2585"/>
      <c r="O13" s="2585"/>
      <c r="P13" s="2585"/>
      <c r="Q13" s="2585"/>
      <c r="R13" s="2585"/>
      <c r="S13" s="2585"/>
      <c r="T13" s="2585"/>
      <c r="U13" s="2585"/>
      <c r="V13" s="2585"/>
      <c r="W13" s="2585"/>
      <c r="X13" s="2594"/>
      <c r="Y13" s="355"/>
    </row>
    <row r="14" spans="2:25" x14ac:dyDescent="0.25">
      <c r="B14" s="394"/>
      <c r="C14" s="1724" t="s">
        <v>505</v>
      </c>
      <c r="D14" s="1725"/>
      <c r="E14" s="1718"/>
      <c r="F14" s="1718" t="s">
        <v>1441</v>
      </c>
      <c r="G14" s="2584"/>
      <c r="H14" s="2585"/>
      <c r="I14" s="2585"/>
      <c r="J14" s="2587"/>
      <c r="K14" s="2585"/>
      <c r="L14" s="2585"/>
      <c r="M14" s="2585"/>
      <c r="N14" s="2585"/>
      <c r="O14" s="2585"/>
      <c r="P14" s="2585"/>
      <c r="Q14" s="2585"/>
      <c r="R14" s="2585"/>
      <c r="S14" s="2585"/>
      <c r="T14" s="2585"/>
      <c r="U14" s="2585"/>
      <c r="V14" s="2585"/>
      <c r="W14" s="2585"/>
      <c r="X14" s="2594"/>
      <c r="Y14" s="355"/>
    </row>
    <row r="15" spans="2:25" x14ac:dyDescent="0.25">
      <c r="B15" s="394"/>
      <c r="C15" s="1724" t="s">
        <v>506</v>
      </c>
      <c r="D15" s="1725"/>
      <c r="E15" s="1718"/>
      <c r="F15" s="1718"/>
      <c r="G15" s="1718"/>
      <c r="H15" s="2584"/>
      <c r="I15" s="2585"/>
      <c r="J15" s="2587"/>
      <c r="K15" s="2585"/>
      <c r="L15" s="2585"/>
      <c r="M15" s="2585"/>
      <c r="N15" s="2585"/>
      <c r="O15" s="2585"/>
      <c r="P15" s="2585"/>
      <c r="Q15" s="2585"/>
      <c r="R15" s="2585"/>
      <c r="S15" s="2585"/>
      <c r="T15" s="2585"/>
      <c r="U15" s="2585"/>
      <c r="V15" s="2585"/>
      <c r="W15" s="2585"/>
      <c r="X15" s="2594"/>
      <c r="Y15" s="355"/>
    </row>
    <row r="16" spans="2:25" x14ac:dyDescent="0.25">
      <c r="B16" s="394"/>
      <c r="C16" s="1724" t="s">
        <v>507</v>
      </c>
      <c r="D16" s="1725"/>
      <c r="E16" s="1718"/>
      <c r="F16" s="1718" t="s">
        <v>1441</v>
      </c>
      <c r="G16" s="1718" t="s">
        <v>1441</v>
      </c>
      <c r="H16" s="1718"/>
      <c r="I16" s="2584"/>
      <c r="J16" s="2587"/>
      <c r="K16" s="2585"/>
      <c r="L16" s="2585"/>
      <c r="M16" s="2585"/>
      <c r="N16" s="2585"/>
      <c r="O16" s="2585"/>
      <c r="P16" s="2585"/>
      <c r="Q16" s="2585"/>
      <c r="R16" s="2585"/>
      <c r="S16" s="2585"/>
      <c r="T16" s="2585"/>
      <c r="U16" s="2585"/>
      <c r="V16" s="2585"/>
      <c r="W16" s="2585"/>
      <c r="X16" s="2594"/>
      <c r="Y16" s="355"/>
    </row>
    <row r="17" spans="2:25" x14ac:dyDescent="0.25">
      <c r="B17" s="394"/>
      <c r="C17" s="1724" t="s">
        <v>523</v>
      </c>
      <c r="D17" s="1725"/>
      <c r="E17" s="1718"/>
      <c r="F17" s="1718"/>
      <c r="G17" s="1718"/>
      <c r="H17" s="1718"/>
      <c r="I17" s="1718"/>
      <c r="J17" s="2588"/>
      <c r="K17" s="2585"/>
      <c r="L17" s="2585"/>
      <c r="M17" s="2585"/>
      <c r="N17" s="2585"/>
      <c r="O17" s="2585"/>
      <c r="P17" s="2585"/>
      <c r="Q17" s="2585"/>
      <c r="R17" s="2585"/>
      <c r="S17" s="2585"/>
      <c r="T17" s="2585"/>
      <c r="U17" s="2585"/>
      <c r="V17" s="2585"/>
      <c r="W17" s="2585"/>
      <c r="X17" s="2594"/>
      <c r="Y17" s="355"/>
    </row>
    <row r="18" spans="2:25" x14ac:dyDescent="0.25">
      <c r="B18" s="394"/>
      <c r="C18" s="1724" t="s">
        <v>524</v>
      </c>
      <c r="D18" s="1725"/>
      <c r="E18" s="1718"/>
      <c r="F18" s="1718"/>
      <c r="G18" s="1718"/>
      <c r="H18" s="1718"/>
      <c r="I18" s="1718"/>
      <c r="J18" s="1718"/>
      <c r="K18" s="2584"/>
      <c r="L18" s="2585"/>
      <c r="M18" s="2585"/>
      <c r="N18" s="2585"/>
      <c r="O18" s="2585"/>
      <c r="P18" s="2585"/>
      <c r="Q18" s="2585"/>
      <c r="R18" s="2585"/>
      <c r="S18" s="2585"/>
      <c r="T18" s="2585"/>
      <c r="U18" s="2585"/>
      <c r="V18" s="2585"/>
      <c r="W18" s="2585"/>
      <c r="X18" s="2594"/>
      <c r="Y18" s="355"/>
    </row>
    <row r="19" spans="2:25" x14ac:dyDescent="0.25">
      <c r="B19" s="394"/>
      <c r="C19" s="1724" t="s">
        <v>525</v>
      </c>
      <c r="D19" s="1725"/>
      <c r="E19" s="1718"/>
      <c r="F19" s="1718"/>
      <c r="G19" s="1718"/>
      <c r="H19" s="1718"/>
      <c r="I19" s="1718"/>
      <c r="J19" s="1718"/>
      <c r="K19" s="1718"/>
      <c r="L19" s="2584"/>
      <c r="M19" s="2585"/>
      <c r="N19" s="2585"/>
      <c r="O19" s="2585"/>
      <c r="P19" s="2585"/>
      <c r="Q19" s="2585"/>
      <c r="R19" s="2585"/>
      <c r="S19" s="2585"/>
      <c r="T19" s="2585"/>
      <c r="U19" s="2585"/>
      <c r="V19" s="2585"/>
      <c r="W19" s="2585"/>
      <c r="X19" s="2594"/>
      <c r="Y19" s="355"/>
    </row>
    <row r="20" spans="2:25" x14ac:dyDescent="0.25">
      <c r="B20" s="394"/>
      <c r="C20" s="1724" t="s">
        <v>526</v>
      </c>
      <c r="D20" s="1725"/>
      <c r="E20" s="1718"/>
      <c r="F20" s="1718"/>
      <c r="G20" s="1718"/>
      <c r="H20" s="1718"/>
      <c r="I20" s="1718"/>
      <c r="J20" s="1718"/>
      <c r="K20" s="1718"/>
      <c r="L20" s="1718"/>
      <c r="M20" s="2584"/>
      <c r="N20" s="2585"/>
      <c r="O20" s="2585"/>
      <c r="P20" s="2585"/>
      <c r="Q20" s="2585"/>
      <c r="R20" s="2585"/>
      <c r="S20" s="2585"/>
      <c r="T20" s="2585"/>
      <c r="U20" s="2585"/>
      <c r="V20" s="2585"/>
      <c r="W20" s="2585"/>
      <c r="X20" s="2594"/>
      <c r="Y20" s="355"/>
    </row>
    <row r="21" spans="2:25" x14ac:dyDescent="0.25">
      <c r="B21" s="394"/>
      <c r="C21" s="1724" t="s">
        <v>527</v>
      </c>
      <c r="D21" s="1725"/>
      <c r="E21" s="1718"/>
      <c r="F21" s="1718"/>
      <c r="G21" s="1718"/>
      <c r="H21" s="1718"/>
      <c r="I21" s="1718"/>
      <c r="J21" s="1718"/>
      <c r="K21" s="1718"/>
      <c r="L21" s="1718"/>
      <c r="M21" s="1718"/>
      <c r="N21" s="2585"/>
      <c r="O21" s="2585"/>
      <c r="P21" s="2585"/>
      <c r="Q21" s="2585"/>
      <c r="R21" s="2585"/>
      <c r="S21" s="2585"/>
      <c r="T21" s="2585"/>
      <c r="U21" s="2585"/>
      <c r="V21" s="2585"/>
      <c r="W21" s="2585"/>
      <c r="X21" s="2594"/>
      <c r="Y21" s="355"/>
    </row>
    <row r="22" spans="2:25" x14ac:dyDescent="0.25">
      <c r="B22" s="394"/>
      <c r="C22" s="1724" t="s">
        <v>513</v>
      </c>
      <c r="D22" s="1725"/>
      <c r="E22" s="1718"/>
      <c r="F22" s="1718"/>
      <c r="G22" s="1718"/>
      <c r="H22" s="1718"/>
      <c r="I22" s="1718"/>
      <c r="J22" s="1718"/>
      <c r="K22" s="1718"/>
      <c r="L22" s="1718"/>
      <c r="M22" s="1718"/>
      <c r="N22" s="1718"/>
      <c r="O22" s="2585"/>
      <c r="P22" s="2585"/>
      <c r="Q22" s="2585"/>
      <c r="R22" s="2585"/>
      <c r="S22" s="2585"/>
      <c r="T22" s="2585"/>
      <c r="U22" s="2585"/>
      <c r="V22" s="2585"/>
      <c r="W22" s="2585"/>
      <c r="X22" s="2594"/>
      <c r="Y22" s="355"/>
    </row>
    <row r="23" spans="2:25" x14ac:dyDescent="0.25">
      <c r="B23" s="394"/>
      <c r="C23" s="1724" t="s">
        <v>514</v>
      </c>
      <c r="D23" s="1725"/>
      <c r="E23" s="1718"/>
      <c r="F23" s="1718"/>
      <c r="G23" s="1718"/>
      <c r="H23" s="1718"/>
      <c r="I23" s="1718"/>
      <c r="J23" s="1718"/>
      <c r="K23" s="1718"/>
      <c r="L23" s="1718"/>
      <c r="M23" s="1718"/>
      <c r="N23" s="1718"/>
      <c r="O23" s="1718"/>
      <c r="P23" s="2585"/>
      <c r="Q23" s="2585"/>
      <c r="R23" s="2585"/>
      <c r="S23" s="2585"/>
      <c r="T23" s="2585"/>
      <c r="U23" s="2585"/>
      <c r="V23" s="2585"/>
      <c r="W23" s="2585"/>
      <c r="X23" s="2594"/>
      <c r="Y23" s="355"/>
    </row>
    <row r="24" spans="2:25" x14ac:dyDescent="0.25">
      <c r="B24" s="394"/>
      <c r="C24" s="1724" t="s">
        <v>528</v>
      </c>
      <c r="D24" s="1725"/>
      <c r="E24" s="1718"/>
      <c r="F24" s="1718"/>
      <c r="G24" s="1718"/>
      <c r="H24" s="1718"/>
      <c r="I24" s="1718"/>
      <c r="J24" s="1718"/>
      <c r="K24" s="1718"/>
      <c r="L24" s="1718"/>
      <c r="M24" s="1718"/>
      <c r="N24" s="1718"/>
      <c r="O24" s="1718"/>
      <c r="P24" s="1718"/>
      <c r="Q24" s="2585"/>
      <c r="R24" s="2585"/>
      <c r="S24" s="2585"/>
      <c r="T24" s="2585"/>
      <c r="U24" s="2585"/>
      <c r="V24" s="2585"/>
      <c r="W24" s="2585"/>
      <c r="X24" s="2594"/>
      <c r="Y24" s="355"/>
    </row>
    <row r="25" spans="2:25" x14ac:dyDescent="0.25">
      <c r="B25" s="394"/>
      <c r="C25" s="1724" t="s">
        <v>516</v>
      </c>
      <c r="D25" s="1725"/>
      <c r="E25" s="1718"/>
      <c r="F25" s="1718"/>
      <c r="G25" s="1718"/>
      <c r="H25" s="1718"/>
      <c r="I25" s="1718"/>
      <c r="J25" s="1718"/>
      <c r="K25" s="1718"/>
      <c r="L25" s="1718"/>
      <c r="M25" s="1718"/>
      <c r="N25" s="1718"/>
      <c r="O25" s="1718"/>
      <c r="P25" s="1718"/>
      <c r="Q25" s="1718"/>
      <c r="R25" s="2585"/>
      <c r="S25" s="2585"/>
      <c r="T25" s="2585"/>
      <c r="U25" s="2585"/>
      <c r="V25" s="2585"/>
      <c r="W25" s="2585"/>
      <c r="X25" s="2594"/>
      <c r="Y25" s="355"/>
    </row>
    <row r="26" spans="2:25" x14ac:dyDescent="0.25">
      <c r="B26" s="394"/>
      <c r="C26" s="1724" t="s">
        <v>517</v>
      </c>
      <c r="D26" s="1725"/>
      <c r="E26" s="1718"/>
      <c r="F26" s="1718"/>
      <c r="G26" s="1718"/>
      <c r="H26" s="1718"/>
      <c r="I26" s="1718"/>
      <c r="J26" s="1718"/>
      <c r="K26" s="1718"/>
      <c r="L26" s="1718"/>
      <c r="M26" s="1718"/>
      <c r="N26" s="1718"/>
      <c r="O26" s="1718"/>
      <c r="P26" s="1718"/>
      <c r="Q26" s="1718"/>
      <c r="R26" s="1718"/>
      <c r="S26" s="2585"/>
      <c r="T26" s="2585"/>
      <c r="U26" s="2585"/>
      <c r="V26" s="2585"/>
      <c r="W26" s="2585"/>
      <c r="X26" s="2594"/>
      <c r="Y26" s="355"/>
    </row>
    <row r="27" spans="2:25" x14ac:dyDescent="0.25">
      <c r="B27" s="394"/>
      <c r="C27" s="1724" t="s">
        <v>518</v>
      </c>
      <c r="D27" s="1725"/>
      <c r="E27" s="1718"/>
      <c r="F27" s="1718"/>
      <c r="G27" s="1718"/>
      <c r="H27" s="1718"/>
      <c r="I27" s="1718"/>
      <c r="J27" s="1718"/>
      <c r="K27" s="1718"/>
      <c r="L27" s="1718"/>
      <c r="M27" s="1718"/>
      <c r="N27" s="1718"/>
      <c r="O27" s="1718"/>
      <c r="P27" s="1718"/>
      <c r="Q27" s="1718"/>
      <c r="R27" s="1718"/>
      <c r="S27" s="1718"/>
      <c r="T27" s="2585"/>
      <c r="U27" s="2585"/>
      <c r="V27" s="2585"/>
      <c r="W27" s="2585"/>
      <c r="X27" s="2594"/>
      <c r="Y27" s="355"/>
    </row>
    <row r="28" spans="2:25" x14ac:dyDescent="0.25">
      <c r="B28" s="394"/>
      <c r="C28" s="1724" t="s">
        <v>529</v>
      </c>
      <c r="D28" s="1725"/>
      <c r="E28" s="1718" t="s">
        <v>1441</v>
      </c>
      <c r="F28" s="1718" t="s">
        <v>1441</v>
      </c>
      <c r="G28" s="1718" t="s">
        <v>1441</v>
      </c>
      <c r="H28" s="1718"/>
      <c r="I28" s="1718" t="s">
        <v>1441</v>
      </c>
      <c r="J28" s="1718"/>
      <c r="K28" s="1718"/>
      <c r="L28" s="1718"/>
      <c r="M28" s="1718"/>
      <c r="N28" s="1718"/>
      <c r="O28" s="1718"/>
      <c r="P28" s="1718"/>
      <c r="Q28" s="1718"/>
      <c r="R28" s="1718"/>
      <c r="S28" s="1718"/>
      <c r="T28" s="1718"/>
      <c r="U28" s="2585"/>
      <c r="V28" s="2585"/>
      <c r="W28" s="2585"/>
      <c r="X28" s="2594"/>
      <c r="Y28" s="355"/>
    </row>
    <row r="29" spans="2:25" x14ac:dyDescent="0.25">
      <c r="B29" s="394"/>
      <c r="C29" s="1724" t="s">
        <v>520</v>
      </c>
      <c r="D29" s="1725"/>
      <c r="E29" s="1718"/>
      <c r="F29" s="1718"/>
      <c r="G29" s="1718"/>
      <c r="H29" s="1718"/>
      <c r="I29" s="1718"/>
      <c r="J29" s="1718"/>
      <c r="K29" s="1718"/>
      <c r="L29" s="1718"/>
      <c r="M29" s="1718"/>
      <c r="N29" s="1718"/>
      <c r="O29" s="1718"/>
      <c r="P29" s="1718"/>
      <c r="Q29" s="1718"/>
      <c r="R29" s="1718"/>
      <c r="S29" s="1718"/>
      <c r="T29" s="1718"/>
      <c r="U29" s="1718"/>
      <c r="V29" s="2585"/>
      <c r="W29" s="2585"/>
      <c r="X29" s="2595"/>
      <c r="Y29" s="355"/>
    </row>
    <row r="30" spans="2:25" x14ac:dyDescent="0.25">
      <c r="B30" s="394"/>
      <c r="C30" s="1726" t="s">
        <v>521</v>
      </c>
      <c r="D30" s="1727"/>
      <c r="E30" s="1718"/>
      <c r="F30" s="1718"/>
      <c r="G30" s="1718"/>
      <c r="H30" s="1718"/>
      <c r="I30" s="1718"/>
      <c r="J30" s="1718"/>
      <c r="K30" s="1718"/>
      <c r="L30" s="1718"/>
      <c r="M30" s="1718"/>
      <c r="N30" s="1718"/>
      <c r="O30" s="1718"/>
      <c r="P30" s="1718"/>
      <c r="Q30" s="1718"/>
      <c r="R30" s="1718"/>
      <c r="S30" s="1718"/>
      <c r="T30" s="1718"/>
      <c r="U30" s="1718"/>
      <c r="V30" s="1718"/>
      <c r="W30" s="2585"/>
      <c r="X30" s="2591" t="s">
        <v>476</v>
      </c>
      <c r="Y30" s="355"/>
    </row>
    <row r="31" spans="2:25" x14ac:dyDescent="0.25">
      <c r="B31" s="394"/>
      <c r="C31" s="1721" t="s">
        <v>476</v>
      </c>
      <c r="D31" s="1728"/>
      <c r="E31" s="1719"/>
      <c r="F31" s="1720"/>
      <c r="G31" s="1720"/>
      <c r="H31" s="1720"/>
      <c r="I31" s="1720"/>
      <c r="J31" s="1720"/>
      <c r="K31" s="1720"/>
      <c r="L31" s="1720"/>
      <c r="M31" s="1720"/>
      <c r="N31" s="1720"/>
      <c r="O31" s="1720"/>
      <c r="P31" s="1720"/>
      <c r="Q31" s="1720"/>
      <c r="R31" s="1720"/>
      <c r="S31" s="1720"/>
      <c r="T31" s="1720"/>
      <c r="U31" s="1720"/>
      <c r="V31" s="1720"/>
      <c r="W31" s="1720"/>
      <c r="X31" s="2592"/>
      <c r="Y31" s="355"/>
    </row>
    <row r="32" spans="2:25" x14ac:dyDescent="0.25">
      <c r="B32" s="394"/>
      <c r="C32" s="1407" t="s">
        <v>476</v>
      </c>
      <c r="D32" s="1728"/>
      <c r="E32" s="605"/>
      <c r="F32" s="606"/>
      <c r="G32" s="606"/>
      <c r="H32" s="606"/>
      <c r="I32" s="606"/>
      <c r="J32" s="606"/>
      <c r="K32" s="606"/>
      <c r="L32" s="606"/>
      <c r="M32" s="606"/>
      <c r="N32" s="606"/>
      <c r="O32" s="606"/>
      <c r="P32" s="606"/>
      <c r="Q32" s="606"/>
      <c r="R32" s="606"/>
      <c r="S32" s="606"/>
      <c r="T32" s="606"/>
      <c r="U32" s="606"/>
      <c r="V32" s="606"/>
      <c r="W32" s="606"/>
      <c r="X32" s="607"/>
      <c r="Y32" s="355"/>
    </row>
    <row r="33" spans="2:25" s="839" customFormat="1" ht="7.5" customHeight="1" x14ac:dyDescent="0.25">
      <c r="B33" s="394"/>
      <c r="C33" s="1243"/>
      <c r="D33" s="827"/>
      <c r="E33" s="827"/>
      <c r="F33" s="827"/>
      <c r="G33" s="827"/>
      <c r="H33" s="827"/>
      <c r="I33" s="827"/>
      <c r="J33" s="827"/>
      <c r="K33" s="827"/>
      <c r="L33" s="827"/>
      <c r="M33" s="827"/>
      <c r="N33" s="827"/>
      <c r="O33" s="827"/>
      <c r="P33" s="827"/>
      <c r="Q33" s="827"/>
      <c r="R33" s="827"/>
      <c r="S33" s="827"/>
      <c r="T33" s="827"/>
      <c r="U33" s="827"/>
      <c r="V33" s="827"/>
      <c r="W33" s="827"/>
      <c r="X33" s="827"/>
      <c r="Y33" s="355"/>
    </row>
    <row r="34" spans="2:25" s="839" customFormat="1" x14ac:dyDescent="0.25">
      <c r="B34" s="394"/>
      <c r="C34" s="812" t="s">
        <v>530</v>
      </c>
      <c r="D34" s="812"/>
      <c r="E34" s="812"/>
      <c r="F34" s="812"/>
      <c r="G34" s="812"/>
      <c r="H34" s="812"/>
      <c r="I34" s="812"/>
      <c r="J34" s="812"/>
      <c r="K34" s="812"/>
      <c r="L34" s="812"/>
      <c r="M34" s="812"/>
      <c r="N34" s="812"/>
      <c r="O34" s="812"/>
      <c r="P34" s="812"/>
      <c r="Q34" s="812"/>
      <c r="R34" s="812"/>
      <c r="S34" s="812"/>
      <c r="T34" s="812"/>
      <c r="U34" s="812"/>
      <c r="V34" s="812"/>
      <c r="W34" s="812"/>
      <c r="X34" s="812"/>
      <c r="Y34" s="355"/>
    </row>
    <row r="35" spans="2:25" s="839" customFormat="1" ht="45" customHeight="1" x14ac:dyDescent="0.25">
      <c r="B35" s="394"/>
      <c r="C35" s="2115"/>
      <c r="D35" s="2116"/>
      <c r="E35" s="2116"/>
      <c r="F35" s="2116"/>
      <c r="G35" s="2116"/>
      <c r="H35" s="2116"/>
      <c r="I35" s="2116"/>
      <c r="J35" s="2116"/>
      <c r="K35" s="2116"/>
      <c r="L35" s="2116"/>
      <c r="M35" s="2116"/>
      <c r="N35" s="2116"/>
      <c r="O35" s="2116"/>
      <c r="P35" s="2116"/>
      <c r="Q35" s="2116"/>
      <c r="R35" s="2116"/>
      <c r="S35" s="2116"/>
      <c r="T35" s="2116"/>
      <c r="U35" s="2116"/>
      <c r="V35" s="2116"/>
      <c r="W35" s="2116"/>
      <c r="X35" s="2117"/>
      <c r="Y35" s="355"/>
    </row>
    <row r="36" spans="2:25" s="839" customFormat="1" ht="9" customHeight="1" thickBot="1" x14ac:dyDescent="0.3">
      <c r="B36" s="1307"/>
      <c r="C36" s="360"/>
      <c r="D36" s="360"/>
      <c r="E36" s="360"/>
      <c r="F36" s="360"/>
      <c r="G36" s="360"/>
      <c r="H36" s="360"/>
      <c r="I36" s="360"/>
      <c r="J36" s="360"/>
      <c r="K36" s="360"/>
      <c r="L36" s="360"/>
      <c r="M36" s="360"/>
      <c r="N36" s="360"/>
      <c r="O36" s="360"/>
      <c r="P36" s="360"/>
      <c r="Q36" s="360"/>
      <c r="R36" s="360"/>
      <c r="S36" s="360"/>
      <c r="T36" s="360"/>
      <c r="U36" s="360"/>
      <c r="V36" s="360"/>
      <c r="W36" s="360"/>
      <c r="X36" s="360"/>
      <c r="Y36" s="361"/>
    </row>
    <row r="37" spans="2:25" s="839" customFormat="1" x14ac:dyDescent="0.25"/>
    <row r="38" spans="2:25" s="839" customFormat="1" x14ac:dyDescent="0.25"/>
    <row r="39" spans="2:25" s="839" customFormat="1" x14ac:dyDescent="0.25"/>
    <row r="40" spans="2:25" s="839" customFormat="1" x14ac:dyDescent="0.25"/>
    <row r="41" spans="2:25" s="839" customFormat="1" x14ac:dyDescent="0.25"/>
  </sheetData>
  <sheetProtection password="9F6B" sheet="1" objects="1" scenarios="1" formatCells="0" formatColumns="0" formatRows="0"/>
  <mergeCells count="23">
    <mergeCell ref="C35:X35"/>
    <mergeCell ref="S12:S26"/>
    <mergeCell ref="T12:T27"/>
    <mergeCell ref="U12:U28"/>
    <mergeCell ref="V12:V29"/>
    <mergeCell ref="M12:M20"/>
    <mergeCell ref="N12:N21"/>
    <mergeCell ref="X30:X31"/>
    <mergeCell ref="X12:X29"/>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s>
  <conditionalFormatting sqref="E12:X32">
    <cfRule type="cellIs" dxfId="1" priority="1" operator="equal">
      <formula>"X"</formula>
    </cfRule>
  </conditionalFormatting>
  <dataValidations count="1">
    <dataValidation type="list" allowBlank="1" showInputMessage="1" showErrorMessage="1" sqref="E13:E32 F14:F32 G15:G32 H16:H32 I17:I32 J18:J33 K19:K33 L20:L32 M21:M32 N22:N32 O23:O32 P24:P32 Q25:Q32 R26:R32 S27:S32 T28:T32 U29:U32 V30:V32 W31:W32 X32">
      <formula1>"X"</formula1>
    </dataValidation>
  </dataValidations>
  <pageMargins left="0.7" right="0.7" top="0.75" bottom="0.75" header="0.3" footer="0.3"/>
  <pageSetup scale="92" orientation="landscape" r:id="rId1"/>
  <headerFooter>
    <oddFooter>&amp;LForm 9B
Identity of Interest Matrix&amp;CCFA Forms&amp;REdition: 2015
Version: 1.1</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M42"/>
  <sheetViews>
    <sheetView showGridLines="0" zoomScaleNormal="100" workbookViewId="0">
      <selection activeCell="AC40" sqref="AC38:AC40"/>
    </sheetView>
  </sheetViews>
  <sheetFormatPr defaultRowHeight="15" x14ac:dyDescent="0.25"/>
  <cols>
    <col min="1" max="2" width="1.7109375" style="844" customWidth="1"/>
    <col min="3" max="3" width="14.28515625" style="844" customWidth="1"/>
    <col min="4" max="4" width="12.85546875" style="844" customWidth="1"/>
    <col min="5" max="6" width="9.140625" style="844"/>
    <col min="7" max="7" width="15.28515625" style="844" customWidth="1"/>
    <col min="8" max="8" width="13.140625" style="844" customWidth="1"/>
    <col min="9" max="9" width="9.140625" style="844"/>
    <col min="10" max="10" width="14.5703125" style="844" bestFit="1" customWidth="1"/>
    <col min="11" max="11" width="11" style="844" customWidth="1"/>
    <col min="12" max="12" width="14.85546875" style="844" customWidth="1"/>
    <col min="13" max="13" width="1.7109375" style="844" customWidth="1"/>
    <col min="14" max="16384" width="9.140625" style="844"/>
  </cols>
  <sheetData>
    <row r="11" spans="2:13" ht="7.5" customHeight="1" thickBot="1" x14ac:dyDescent="0.3">
      <c r="B11" s="1408"/>
      <c r="C11" s="1408"/>
      <c r="D11" s="1408"/>
      <c r="E11" s="1408"/>
      <c r="F11" s="1408"/>
      <c r="G11" s="1408"/>
      <c r="H11" s="1408"/>
      <c r="I11" s="1408"/>
      <c r="J11" s="1408"/>
      <c r="K11" s="1408"/>
      <c r="L11" s="1408"/>
      <c r="M11" s="1409"/>
    </row>
    <row r="12" spans="2:13" ht="9" customHeight="1" x14ac:dyDescent="0.3">
      <c r="B12" s="609"/>
      <c r="C12" s="610"/>
      <c r="D12" s="611"/>
      <c r="E12" s="611"/>
      <c r="F12" s="610"/>
      <c r="G12" s="610"/>
      <c r="H12" s="610"/>
      <c r="I12" s="610"/>
      <c r="J12" s="610"/>
      <c r="K12" s="610"/>
      <c r="L12" s="610"/>
      <c r="M12" s="612"/>
    </row>
    <row r="13" spans="2:13" ht="18.75" x14ac:dyDescent="0.3">
      <c r="B13" s="613"/>
      <c r="C13" s="2225" t="s">
        <v>531</v>
      </c>
      <c r="D13" s="2225"/>
      <c r="E13" s="2225"/>
      <c r="F13" s="2225"/>
      <c r="G13" s="2225"/>
      <c r="H13" s="2225"/>
      <c r="I13" s="2225"/>
      <c r="J13" s="2225"/>
      <c r="K13" s="2225"/>
      <c r="L13" s="2225"/>
      <c r="M13" s="614"/>
    </row>
    <row r="14" spans="2:13" ht="15" customHeight="1" x14ac:dyDescent="0.3">
      <c r="B14" s="613"/>
      <c r="C14" s="615"/>
      <c r="D14" s="615"/>
      <c r="E14" s="615"/>
      <c r="F14" s="615"/>
      <c r="G14" s="615"/>
      <c r="H14" s="615"/>
      <c r="I14" s="615"/>
      <c r="J14" s="615"/>
      <c r="K14" s="615"/>
      <c r="L14" s="615"/>
      <c r="M14" s="614"/>
    </row>
    <row r="15" spans="2:13" x14ac:dyDescent="0.25">
      <c r="B15" s="616"/>
      <c r="C15" s="401" t="s">
        <v>1</v>
      </c>
      <c r="D15" s="2149" t="str">
        <f>IF('1A'!G5="","Enter Project Name on Form 1A",'1A'!G5)</f>
        <v>University District Apartments</v>
      </c>
      <c r="E15" s="2149"/>
      <c r="F15" s="2149"/>
      <c r="G15" s="2149"/>
      <c r="H15" s="617"/>
      <c r="I15" s="617"/>
      <c r="J15" s="1121"/>
      <c r="K15" s="212"/>
      <c r="L15" s="212"/>
      <c r="M15" s="618"/>
    </row>
    <row r="16" spans="2:13" ht="22.5" customHeight="1" x14ac:dyDescent="0.25">
      <c r="B16" s="616"/>
      <c r="C16" s="619"/>
      <c r="D16" s="619"/>
      <c r="E16" s="617"/>
      <c r="F16" s="617"/>
      <c r="G16" s="617"/>
      <c r="H16" s="617"/>
      <c r="I16" s="617"/>
      <c r="J16" s="1410"/>
      <c r="K16" s="1410"/>
      <c r="L16" s="1410"/>
      <c r="M16" s="618"/>
    </row>
    <row r="17" spans="2:13" ht="16.5" thickBot="1" x14ac:dyDescent="0.3">
      <c r="B17" s="616"/>
      <c r="C17" s="653" t="s">
        <v>532</v>
      </c>
      <c r="D17" s="653"/>
      <c r="E17" s="620"/>
      <c r="F17" s="621"/>
      <c r="G17" s="619"/>
      <c r="H17" s="619"/>
      <c r="I17" s="619"/>
      <c r="J17" s="619"/>
      <c r="K17" s="619"/>
      <c r="L17" s="619"/>
      <c r="M17" s="618"/>
    </row>
    <row r="18" spans="2:13" ht="24.75" thickBot="1" x14ac:dyDescent="0.3">
      <c r="B18" s="622"/>
      <c r="C18" s="2596" t="s">
        <v>533</v>
      </c>
      <c r="D18" s="2597"/>
      <c r="E18" s="623" t="s">
        <v>534</v>
      </c>
      <c r="F18" s="623" t="s">
        <v>535</v>
      </c>
      <c r="G18" s="624" t="s">
        <v>536</v>
      </c>
      <c r="H18" s="624" t="s">
        <v>537</v>
      </c>
      <c r="I18" s="624" t="s">
        <v>663</v>
      </c>
      <c r="J18" s="624" t="s">
        <v>538</v>
      </c>
      <c r="K18" s="624" t="s">
        <v>539</v>
      </c>
      <c r="L18" s="625" t="s">
        <v>540</v>
      </c>
      <c r="M18" s="614"/>
    </row>
    <row r="19" spans="2:13" ht="39" x14ac:dyDescent="0.25">
      <c r="B19" s="626"/>
      <c r="C19" s="2598" t="s">
        <v>1476</v>
      </c>
      <c r="D19" s="2599"/>
      <c r="E19" s="627" t="s">
        <v>1336</v>
      </c>
      <c r="F19" s="628" t="s">
        <v>1477</v>
      </c>
      <c r="G19" s="629" t="s">
        <v>1478</v>
      </c>
      <c r="H19" s="630" t="s">
        <v>1479</v>
      </c>
      <c r="I19" s="631" t="s">
        <v>1480</v>
      </c>
      <c r="J19" s="631" t="s">
        <v>1481</v>
      </c>
      <c r="K19" s="631" t="s">
        <v>1482</v>
      </c>
      <c r="L19" s="632" t="s">
        <v>1483</v>
      </c>
      <c r="M19" s="614"/>
    </row>
    <row r="20" spans="2:13" ht="39" x14ac:dyDescent="0.25">
      <c r="B20" s="622"/>
      <c r="C20" s="2600" t="s">
        <v>1484</v>
      </c>
      <c r="D20" s="2601"/>
      <c r="E20" s="633" t="s">
        <v>1336</v>
      </c>
      <c r="F20" s="634" t="s">
        <v>1477</v>
      </c>
      <c r="G20" s="635" t="s">
        <v>1478</v>
      </c>
      <c r="H20" s="636" t="s">
        <v>1479</v>
      </c>
      <c r="I20" s="637" t="s">
        <v>1485</v>
      </c>
      <c r="J20" s="637" t="s">
        <v>1486</v>
      </c>
      <c r="K20" s="637" t="s">
        <v>1487</v>
      </c>
      <c r="L20" s="638" t="s">
        <v>1488</v>
      </c>
      <c r="M20" s="614"/>
    </row>
    <row r="21" spans="2:13" ht="64.5" x14ac:dyDescent="0.25">
      <c r="B21" s="622"/>
      <c r="C21" s="2600" t="s">
        <v>1489</v>
      </c>
      <c r="D21" s="2601"/>
      <c r="E21" s="633" t="s">
        <v>1336</v>
      </c>
      <c r="F21" s="634" t="s">
        <v>1490</v>
      </c>
      <c r="G21" s="639" t="s">
        <v>1478</v>
      </c>
      <c r="H21" s="636" t="s">
        <v>1479</v>
      </c>
      <c r="I21" s="637" t="s">
        <v>1491</v>
      </c>
      <c r="J21" s="637" t="s">
        <v>1492</v>
      </c>
      <c r="K21" s="637" t="s">
        <v>1493</v>
      </c>
      <c r="L21" s="638" t="s">
        <v>1494</v>
      </c>
      <c r="M21" s="614"/>
    </row>
    <row r="22" spans="2:13" ht="51.75" x14ac:dyDescent="0.25">
      <c r="B22" s="622"/>
      <c r="C22" s="2600" t="s">
        <v>1495</v>
      </c>
      <c r="D22" s="2601"/>
      <c r="E22" s="633" t="s">
        <v>1336</v>
      </c>
      <c r="F22" s="634" t="s">
        <v>1490</v>
      </c>
      <c r="G22" s="639" t="s">
        <v>495</v>
      </c>
      <c r="H22" s="636" t="s">
        <v>1479</v>
      </c>
      <c r="I22" s="637" t="s">
        <v>1496</v>
      </c>
      <c r="J22" s="637" t="s">
        <v>1497</v>
      </c>
      <c r="K22" s="637" t="s">
        <v>1498</v>
      </c>
      <c r="L22" s="638" t="s">
        <v>1499</v>
      </c>
      <c r="M22" s="614"/>
    </row>
    <row r="23" spans="2:13" x14ac:dyDescent="0.25">
      <c r="B23" s="622"/>
      <c r="C23" s="2600"/>
      <c r="D23" s="2601"/>
      <c r="E23" s="633"/>
      <c r="F23" s="634"/>
      <c r="G23" s="639"/>
      <c r="H23" s="636"/>
      <c r="I23" s="637"/>
      <c r="J23" s="637"/>
      <c r="K23" s="637"/>
      <c r="L23" s="638"/>
      <c r="M23" s="614"/>
    </row>
    <row r="24" spans="2:13" x14ac:dyDescent="0.25">
      <c r="B24" s="640"/>
      <c r="C24" s="2600"/>
      <c r="D24" s="2601"/>
      <c r="E24" s="633"/>
      <c r="F24" s="634"/>
      <c r="G24" s="639"/>
      <c r="H24" s="636"/>
      <c r="I24" s="637"/>
      <c r="J24" s="637"/>
      <c r="K24" s="637"/>
      <c r="L24" s="638"/>
      <c r="M24" s="614"/>
    </row>
    <row r="25" spans="2:13" x14ac:dyDescent="0.25">
      <c r="B25" s="640"/>
      <c r="C25" s="2600"/>
      <c r="D25" s="2601"/>
      <c r="E25" s="633"/>
      <c r="F25" s="634"/>
      <c r="G25" s="639"/>
      <c r="H25" s="636"/>
      <c r="I25" s="637"/>
      <c r="J25" s="637"/>
      <c r="K25" s="637"/>
      <c r="L25" s="638"/>
      <c r="M25" s="614"/>
    </row>
    <row r="26" spans="2:13" x14ac:dyDescent="0.25">
      <c r="B26" s="640"/>
      <c r="C26" s="2600"/>
      <c r="D26" s="2601"/>
      <c r="E26" s="633"/>
      <c r="F26" s="634"/>
      <c r="G26" s="639"/>
      <c r="H26" s="636"/>
      <c r="I26" s="637"/>
      <c r="J26" s="637"/>
      <c r="K26" s="637"/>
      <c r="L26" s="638"/>
      <c r="M26" s="614"/>
    </row>
    <row r="27" spans="2:13" x14ac:dyDescent="0.25">
      <c r="B27" s="622"/>
      <c r="C27" s="2600"/>
      <c r="D27" s="2601"/>
      <c r="E27" s="633"/>
      <c r="F27" s="634"/>
      <c r="G27" s="639"/>
      <c r="H27" s="636"/>
      <c r="I27" s="637"/>
      <c r="J27" s="637"/>
      <c r="K27" s="637"/>
      <c r="L27" s="638"/>
      <c r="M27" s="614"/>
    </row>
    <row r="28" spans="2:13" x14ac:dyDescent="0.25">
      <c r="B28" s="622"/>
      <c r="C28" s="2600"/>
      <c r="D28" s="2601"/>
      <c r="E28" s="633"/>
      <c r="F28" s="634"/>
      <c r="G28" s="639"/>
      <c r="H28" s="636"/>
      <c r="I28" s="637"/>
      <c r="J28" s="637"/>
      <c r="K28" s="637"/>
      <c r="L28" s="638"/>
      <c r="M28" s="614"/>
    </row>
    <row r="29" spans="2:13" x14ac:dyDescent="0.25">
      <c r="B29" s="622"/>
      <c r="C29" s="2600"/>
      <c r="D29" s="2601"/>
      <c r="E29" s="633"/>
      <c r="F29" s="634"/>
      <c r="G29" s="639"/>
      <c r="H29" s="636"/>
      <c r="I29" s="637"/>
      <c r="J29" s="637"/>
      <c r="K29" s="637"/>
      <c r="L29" s="638"/>
      <c r="M29" s="614"/>
    </row>
    <row r="30" spans="2:13" ht="15.75" thickBot="1" x14ac:dyDescent="0.3">
      <c r="B30" s="622"/>
      <c r="C30" s="2606"/>
      <c r="D30" s="2607"/>
      <c r="E30" s="641"/>
      <c r="F30" s="642"/>
      <c r="G30" s="643"/>
      <c r="H30" s="644"/>
      <c r="I30" s="645"/>
      <c r="J30" s="645"/>
      <c r="K30" s="645"/>
      <c r="L30" s="646"/>
      <c r="M30" s="614"/>
    </row>
    <row r="31" spans="2:13" ht="7.5" customHeight="1" x14ac:dyDescent="0.25">
      <c r="B31" s="622"/>
      <c r="C31" s="675"/>
      <c r="D31" s="675"/>
      <c r="E31" s="675"/>
      <c r="F31" s="675"/>
      <c r="G31" s="1411"/>
      <c r="H31" s="675"/>
      <c r="I31" s="1412"/>
      <c r="J31" s="1412"/>
      <c r="K31" s="1412"/>
      <c r="L31" s="1412"/>
      <c r="M31" s="614"/>
    </row>
    <row r="32" spans="2:13" ht="16.5" thickBot="1" x14ac:dyDescent="0.3">
      <c r="B32" s="616"/>
      <c r="C32" s="653" t="s">
        <v>541</v>
      </c>
      <c r="D32" s="653"/>
      <c r="E32" s="620"/>
      <c r="F32" s="621"/>
      <c r="G32" s="619"/>
      <c r="H32" s="619"/>
      <c r="I32" s="619"/>
      <c r="J32" s="619"/>
      <c r="K32" s="619"/>
      <c r="L32" s="619"/>
      <c r="M32" s="618"/>
    </row>
    <row r="33" spans="2:13" ht="24.75" thickBot="1" x14ac:dyDescent="0.3">
      <c r="B33" s="622"/>
      <c r="C33" s="2596" t="s">
        <v>542</v>
      </c>
      <c r="D33" s="2597"/>
      <c r="E33" s="623" t="s">
        <v>534</v>
      </c>
      <c r="F33" s="623" t="s">
        <v>535</v>
      </c>
      <c r="G33" s="624" t="s">
        <v>536</v>
      </c>
      <c r="H33" s="624" t="s">
        <v>537</v>
      </c>
      <c r="I33" s="624" t="s">
        <v>663</v>
      </c>
      <c r="J33" s="624" t="s">
        <v>538</v>
      </c>
      <c r="K33" s="624" t="s">
        <v>666</v>
      </c>
      <c r="L33" s="625" t="s">
        <v>540</v>
      </c>
      <c r="M33" s="614"/>
    </row>
    <row r="34" spans="2:13" ht="39" x14ac:dyDescent="0.25">
      <c r="B34" s="626"/>
      <c r="C34" s="2608" t="s">
        <v>1500</v>
      </c>
      <c r="D34" s="2609"/>
      <c r="E34" s="627" t="s">
        <v>1336</v>
      </c>
      <c r="F34" s="628" t="s">
        <v>1490</v>
      </c>
      <c r="G34" s="647" t="s">
        <v>1478</v>
      </c>
      <c r="H34" s="630" t="s">
        <v>1479</v>
      </c>
      <c r="I34" s="631" t="s">
        <v>1504</v>
      </c>
      <c r="J34" s="631" t="s">
        <v>1501</v>
      </c>
      <c r="K34" s="631" t="s">
        <v>1502</v>
      </c>
      <c r="L34" s="632" t="s">
        <v>1503</v>
      </c>
      <c r="M34" s="614"/>
    </row>
    <row r="35" spans="2:13" x14ac:dyDescent="0.25">
      <c r="B35" s="622"/>
      <c r="C35" s="2604"/>
      <c r="D35" s="2605"/>
      <c r="E35" s="633"/>
      <c r="F35" s="634"/>
      <c r="G35" s="648"/>
      <c r="H35" s="636"/>
      <c r="I35" s="637"/>
      <c r="J35" s="637"/>
      <c r="K35" s="637"/>
      <c r="L35" s="638"/>
      <c r="M35" s="614"/>
    </row>
    <row r="36" spans="2:13" x14ac:dyDescent="0.25">
      <c r="B36" s="622"/>
      <c r="C36" s="2604"/>
      <c r="D36" s="2605"/>
      <c r="E36" s="633"/>
      <c r="F36" s="634"/>
      <c r="G36" s="649"/>
      <c r="H36" s="636"/>
      <c r="I36" s="637"/>
      <c r="J36" s="637"/>
      <c r="K36" s="637"/>
      <c r="L36" s="638"/>
      <c r="M36" s="614"/>
    </row>
    <row r="37" spans="2:13" x14ac:dyDescent="0.25">
      <c r="B37" s="640"/>
      <c r="C37" s="2604"/>
      <c r="D37" s="2605"/>
      <c r="E37" s="633"/>
      <c r="F37" s="634"/>
      <c r="G37" s="649"/>
      <c r="H37" s="636"/>
      <c r="I37" s="637"/>
      <c r="J37" s="637"/>
      <c r="K37" s="637"/>
      <c r="L37" s="638"/>
      <c r="M37" s="614"/>
    </row>
    <row r="38" spans="2:13" x14ac:dyDescent="0.25">
      <c r="B38" s="622"/>
      <c r="C38" s="2604"/>
      <c r="D38" s="2605"/>
      <c r="E38" s="633"/>
      <c r="F38" s="634"/>
      <c r="G38" s="649"/>
      <c r="H38" s="636"/>
      <c r="I38" s="637"/>
      <c r="J38" s="637"/>
      <c r="K38" s="637"/>
      <c r="L38" s="638"/>
      <c r="M38" s="614"/>
    </row>
    <row r="39" spans="2:13" x14ac:dyDescent="0.25">
      <c r="B39" s="622"/>
      <c r="C39" s="2604"/>
      <c r="D39" s="2605"/>
      <c r="E39" s="633"/>
      <c r="F39" s="634"/>
      <c r="G39" s="649"/>
      <c r="H39" s="636"/>
      <c r="I39" s="637"/>
      <c r="J39" s="637"/>
      <c r="K39" s="637"/>
      <c r="L39" s="638"/>
      <c r="M39" s="614"/>
    </row>
    <row r="40" spans="2:13" x14ac:dyDescent="0.25">
      <c r="B40" s="622"/>
      <c r="C40" s="2604"/>
      <c r="D40" s="2605"/>
      <c r="E40" s="633"/>
      <c r="F40" s="634"/>
      <c r="G40" s="649"/>
      <c r="H40" s="636"/>
      <c r="I40" s="637"/>
      <c r="J40" s="637"/>
      <c r="K40" s="637"/>
      <c r="L40" s="638"/>
      <c r="M40" s="614"/>
    </row>
    <row r="41" spans="2:13" ht="15.75" thickBot="1" x14ac:dyDescent="0.3">
      <c r="B41" s="622"/>
      <c r="C41" s="2602"/>
      <c r="D41" s="2603"/>
      <c r="E41" s="641"/>
      <c r="F41" s="642"/>
      <c r="G41" s="644"/>
      <c r="H41" s="644"/>
      <c r="I41" s="645"/>
      <c r="J41" s="645"/>
      <c r="K41" s="645"/>
      <c r="L41" s="646"/>
      <c r="M41" s="614"/>
    </row>
    <row r="42" spans="2:13" ht="9" customHeight="1" thickBot="1" x14ac:dyDescent="0.3">
      <c r="B42" s="650"/>
      <c r="C42" s="651"/>
      <c r="D42" s="651"/>
      <c r="E42" s="651"/>
      <c r="F42" s="651"/>
      <c r="G42" s="651"/>
      <c r="H42" s="651"/>
      <c r="I42" s="651"/>
      <c r="J42" s="651"/>
      <c r="K42" s="651"/>
      <c r="L42" s="651"/>
      <c r="M42" s="652"/>
    </row>
  </sheetData>
  <sheetProtection password="9F6B" sheet="1" objects="1" scenarios="1" formatCells="0" formatColumns="0" formatRows="0" insertRows="0"/>
  <mergeCells count="24">
    <mergeCell ref="C41:D41"/>
    <mergeCell ref="C37:D37"/>
    <mergeCell ref="C38:D38"/>
    <mergeCell ref="C39:D39"/>
    <mergeCell ref="C30:D30"/>
    <mergeCell ref="C34:D34"/>
    <mergeCell ref="C35:D35"/>
    <mergeCell ref="C36:D36"/>
    <mergeCell ref="C40:D40"/>
    <mergeCell ref="D15:G15"/>
    <mergeCell ref="C18:D18"/>
    <mergeCell ref="C33:D33"/>
    <mergeCell ref="C13:L13"/>
    <mergeCell ref="C19:D19"/>
    <mergeCell ref="C20:D20"/>
    <mergeCell ref="C21:D21"/>
    <mergeCell ref="C22:D22"/>
    <mergeCell ref="C23:D23"/>
    <mergeCell ref="C24:D24"/>
    <mergeCell ref="C25:D25"/>
    <mergeCell ref="C26:D26"/>
    <mergeCell ref="C27:D27"/>
    <mergeCell ref="C28:D28"/>
    <mergeCell ref="C29:D29"/>
  </mergeCells>
  <dataValidations count="2">
    <dataValidation type="list" allowBlank="1" showInputMessage="1" showErrorMessage="1" sqref="E19:E30 E34:E41">
      <formula1>"MF,SF"</formula1>
    </dataValidation>
    <dataValidation type="list" allowBlank="1" showInputMessage="1" showErrorMessage="1" sqref="F19:F30 F34:F41">
      <formula1>"NC,R,A"</formula1>
    </dataValidation>
  </dataValidations>
  <pageMargins left="0.7" right="0.7" top="0.75" bottom="0.75" header="0.3" footer="0.3"/>
  <pageSetup scale="96" fitToHeight="0" orientation="landscape" r:id="rId1"/>
  <headerFooter>
    <oddFooter>&amp;LForm 9C
Project Sponsor Experience&amp;CCFA Forms&amp;REdition: 2015
Version: 1.1</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L47"/>
  <sheetViews>
    <sheetView showGridLines="0" zoomScaleNormal="100" workbookViewId="0">
      <selection activeCell="R16" sqref="R16"/>
    </sheetView>
  </sheetViews>
  <sheetFormatPr defaultRowHeight="15" x14ac:dyDescent="0.25"/>
  <cols>
    <col min="1" max="2" width="1.7109375" style="844" customWidth="1"/>
    <col min="3" max="3" width="14.28515625" style="844" customWidth="1"/>
    <col min="4" max="4" width="12.85546875" style="844" customWidth="1"/>
    <col min="5" max="6" width="9.140625" style="844"/>
    <col min="7" max="7" width="15.28515625" style="844" customWidth="1"/>
    <col min="8" max="8" width="14.28515625" style="844" customWidth="1"/>
    <col min="9" max="9" width="16.5703125" style="844" customWidth="1"/>
    <col min="10" max="10" width="14.85546875" style="844" customWidth="1"/>
    <col min="11" max="11" width="17.140625" style="844" customWidth="1"/>
    <col min="12" max="12" width="1.7109375" style="844" customWidth="1"/>
    <col min="13" max="16384" width="9.140625" style="844"/>
  </cols>
  <sheetData>
    <row r="14" spans="2:12" ht="7.5" customHeight="1" thickBot="1" x14ac:dyDescent="0.3">
      <c r="B14" s="1409"/>
      <c r="C14" s="1409"/>
      <c r="D14" s="1409"/>
      <c r="E14" s="1409"/>
      <c r="F14" s="1409"/>
      <c r="G14" s="1409"/>
      <c r="H14" s="1409"/>
      <c r="I14" s="1409"/>
      <c r="J14" s="1409"/>
      <c r="K14" s="1409"/>
      <c r="L14" s="1409"/>
    </row>
    <row r="15" spans="2:12" ht="9" customHeight="1" x14ac:dyDescent="0.3">
      <c r="B15" s="609"/>
      <c r="C15" s="654"/>
      <c r="D15" s="654"/>
      <c r="E15" s="610"/>
      <c r="F15" s="610"/>
      <c r="G15" s="610"/>
      <c r="H15" s="610"/>
      <c r="I15" s="610"/>
      <c r="J15" s="610"/>
      <c r="K15" s="610"/>
      <c r="L15" s="612"/>
    </row>
    <row r="16" spans="2:12" ht="18.75" x14ac:dyDescent="0.3">
      <c r="B16" s="613"/>
      <c r="C16" s="1649" t="s">
        <v>1343</v>
      </c>
      <c r="D16" s="1731"/>
      <c r="E16" s="1731"/>
      <c r="F16" s="1731"/>
      <c r="G16" s="1731"/>
      <c r="H16" s="1731"/>
      <c r="I16" s="1731"/>
      <c r="J16" s="1731"/>
      <c r="K16" s="1731"/>
      <c r="L16" s="614"/>
    </row>
    <row r="17" spans="2:12" ht="15" customHeight="1" x14ac:dyDescent="0.3">
      <c r="B17" s="613"/>
      <c r="C17" s="401"/>
      <c r="D17" s="401"/>
      <c r="E17" s="615"/>
      <c r="F17" s="615"/>
      <c r="G17" s="615"/>
      <c r="H17" s="615"/>
      <c r="I17" s="615"/>
      <c r="J17" s="615"/>
      <c r="K17" s="615"/>
      <c r="L17" s="614"/>
    </row>
    <row r="18" spans="2:12" x14ac:dyDescent="0.25">
      <c r="B18" s="616"/>
      <c r="C18" s="401" t="s">
        <v>1</v>
      </c>
      <c r="D18" s="2149" t="str">
        <f>IF('1A'!G5="","Enter Project Name on Form 1A",'1A'!G5)</f>
        <v>University District Apartments</v>
      </c>
      <c r="E18" s="2149"/>
      <c r="F18" s="2149"/>
      <c r="G18" s="2149"/>
      <c r="H18" s="2149"/>
      <c r="I18" s="2149"/>
      <c r="J18" s="617"/>
      <c r="K18" s="1121"/>
      <c r="L18" s="618"/>
    </row>
    <row r="19" spans="2:12" ht="22.5" customHeight="1" x14ac:dyDescent="0.25">
      <c r="B19" s="616"/>
      <c r="C19" s="321"/>
      <c r="D19" s="321"/>
      <c r="E19" s="617"/>
      <c r="F19" s="617"/>
      <c r="G19" s="617"/>
      <c r="H19" s="617"/>
      <c r="I19" s="617"/>
      <c r="J19" s="617"/>
      <c r="K19" s="619"/>
      <c r="L19" s="618"/>
    </row>
    <row r="20" spans="2:12" ht="15.75" customHeight="1" x14ac:dyDescent="0.25">
      <c r="B20" s="616"/>
      <c r="C20" s="661" t="s">
        <v>544</v>
      </c>
      <c r="D20" s="661"/>
      <c r="E20" s="661"/>
      <c r="F20" s="661"/>
      <c r="G20" s="661"/>
      <c r="H20" s="661"/>
      <c r="I20" s="619"/>
      <c r="J20" s="619"/>
      <c r="K20" s="619"/>
      <c r="L20" s="618"/>
    </row>
    <row r="21" spans="2:12" x14ac:dyDescent="0.25">
      <c r="B21" s="622"/>
      <c r="C21" s="2610" t="s">
        <v>545</v>
      </c>
      <c r="D21" s="2611"/>
      <c r="E21" s="666" t="str">
        <f>IF('1A'!G15="","Enter Development Consultant Firm Name on Form 1A",'1A'!G15)</f>
        <v>N/A</v>
      </c>
      <c r="F21" s="667"/>
      <c r="G21" s="667"/>
      <c r="H21" s="667"/>
      <c r="I21" s="667"/>
      <c r="J21" s="668"/>
      <c r="K21" s="1410"/>
      <c r="L21" s="655"/>
    </row>
    <row r="22" spans="2:12" ht="3.75" customHeight="1" thickBot="1" x14ac:dyDescent="0.3">
      <c r="B22" s="622"/>
      <c r="C22" s="656"/>
      <c r="D22" s="656"/>
      <c r="E22" s="1410"/>
      <c r="F22" s="1410"/>
      <c r="G22" s="1410"/>
      <c r="H22" s="1410"/>
      <c r="I22" s="1410"/>
      <c r="J22" s="1410"/>
      <c r="K22" s="1410"/>
      <c r="L22" s="614"/>
    </row>
    <row r="23" spans="2:12" ht="24.75" thickBot="1" x14ac:dyDescent="0.3">
      <c r="B23" s="622"/>
      <c r="C23" s="669" t="s">
        <v>533</v>
      </c>
      <c r="D23" s="670"/>
      <c r="E23" s="624" t="s">
        <v>534</v>
      </c>
      <c r="F23" s="671" t="s">
        <v>535</v>
      </c>
      <c r="G23" s="624" t="s">
        <v>537</v>
      </c>
      <c r="H23" s="624" t="s">
        <v>663</v>
      </c>
      <c r="I23" s="624" t="s">
        <v>538</v>
      </c>
      <c r="J23" s="624" t="s">
        <v>539</v>
      </c>
      <c r="K23" s="625" t="s">
        <v>540</v>
      </c>
      <c r="L23" s="614"/>
    </row>
    <row r="24" spans="2:12" x14ac:dyDescent="0.25">
      <c r="B24" s="626"/>
      <c r="C24" s="2616"/>
      <c r="D24" s="2617"/>
      <c r="E24" s="627"/>
      <c r="F24" s="628"/>
      <c r="G24" s="1413"/>
      <c r="H24" s="372"/>
      <c r="I24" s="630"/>
      <c r="J24" s="631"/>
      <c r="K24" s="632"/>
      <c r="L24" s="614"/>
    </row>
    <row r="25" spans="2:12" x14ac:dyDescent="0.25">
      <c r="B25" s="622"/>
      <c r="C25" s="2618"/>
      <c r="D25" s="2619"/>
      <c r="E25" s="633"/>
      <c r="F25" s="634"/>
      <c r="G25" s="1414"/>
      <c r="H25" s="639"/>
      <c r="I25" s="636"/>
      <c r="J25" s="637"/>
      <c r="K25" s="638"/>
      <c r="L25" s="614"/>
    </row>
    <row r="26" spans="2:12" x14ac:dyDescent="0.25">
      <c r="B26" s="622"/>
      <c r="C26" s="2612"/>
      <c r="D26" s="2613"/>
      <c r="E26" s="633"/>
      <c r="F26" s="634"/>
      <c r="G26" s="1414"/>
      <c r="H26" s="639"/>
      <c r="I26" s="636"/>
      <c r="J26" s="637"/>
      <c r="K26" s="638"/>
      <c r="L26" s="614"/>
    </row>
    <row r="27" spans="2:12" x14ac:dyDescent="0.25">
      <c r="B27" s="622"/>
      <c r="C27" s="2612"/>
      <c r="D27" s="2613"/>
      <c r="E27" s="633"/>
      <c r="F27" s="634"/>
      <c r="G27" s="1414"/>
      <c r="H27" s="639"/>
      <c r="I27" s="636"/>
      <c r="J27" s="637"/>
      <c r="K27" s="638"/>
      <c r="L27" s="614"/>
    </row>
    <row r="28" spans="2:12" x14ac:dyDescent="0.25">
      <c r="B28" s="622"/>
      <c r="C28" s="2612"/>
      <c r="D28" s="2613"/>
      <c r="E28" s="633"/>
      <c r="F28" s="634"/>
      <c r="G28" s="1414"/>
      <c r="H28" s="639"/>
      <c r="I28" s="636"/>
      <c r="J28" s="637"/>
      <c r="K28" s="638"/>
      <c r="L28" s="614"/>
    </row>
    <row r="29" spans="2:12" x14ac:dyDescent="0.25">
      <c r="B29" s="640"/>
      <c r="C29" s="2612"/>
      <c r="D29" s="2613"/>
      <c r="E29" s="633"/>
      <c r="F29" s="634"/>
      <c r="G29" s="1414"/>
      <c r="H29" s="639"/>
      <c r="I29" s="636"/>
      <c r="J29" s="637"/>
      <c r="K29" s="638"/>
      <c r="L29" s="614"/>
    </row>
    <row r="30" spans="2:12" x14ac:dyDescent="0.25">
      <c r="B30" s="640"/>
      <c r="C30" s="2612"/>
      <c r="D30" s="2613"/>
      <c r="E30" s="633"/>
      <c r="F30" s="634"/>
      <c r="G30" s="1414"/>
      <c r="H30" s="639"/>
      <c r="I30" s="636"/>
      <c r="J30" s="637"/>
      <c r="K30" s="638"/>
      <c r="L30" s="614"/>
    </row>
    <row r="31" spans="2:12" x14ac:dyDescent="0.25">
      <c r="B31" s="640"/>
      <c r="C31" s="2612"/>
      <c r="D31" s="2613"/>
      <c r="E31" s="633"/>
      <c r="F31" s="634"/>
      <c r="G31" s="1414"/>
      <c r="H31" s="639"/>
      <c r="I31" s="636"/>
      <c r="J31" s="637"/>
      <c r="K31" s="638"/>
      <c r="L31" s="614"/>
    </row>
    <row r="32" spans="2:12" x14ac:dyDescent="0.25">
      <c r="B32" s="622"/>
      <c r="C32" s="2612"/>
      <c r="D32" s="2613"/>
      <c r="E32" s="633"/>
      <c r="F32" s="634"/>
      <c r="G32" s="1414"/>
      <c r="H32" s="639"/>
      <c r="I32" s="636"/>
      <c r="J32" s="637"/>
      <c r="K32" s="638"/>
      <c r="L32" s="614"/>
    </row>
    <row r="33" spans="2:12" x14ac:dyDescent="0.25">
      <c r="B33" s="622"/>
      <c r="C33" s="2612"/>
      <c r="D33" s="2613"/>
      <c r="E33" s="633"/>
      <c r="F33" s="634"/>
      <c r="G33" s="1414"/>
      <c r="H33" s="639"/>
      <c r="I33" s="636"/>
      <c r="J33" s="637"/>
      <c r="K33" s="638"/>
      <c r="L33" s="614"/>
    </row>
    <row r="34" spans="2:12" x14ac:dyDescent="0.25">
      <c r="B34" s="622"/>
      <c r="C34" s="2612"/>
      <c r="D34" s="2613"/>
      <c r="E34" s="633"/>
      <c r="F34" s="634"/>
      <c r="G34" s="1414"/>
      <c r="H34" s="639"/>
      <c r="I34" s="636"/>
      <c r="J34" s="637"/>
      <c r="K34" s="638"/>
      <c r="L34" s="614"/>
    </row>
    <row r="35" spans="2:12" ht="15.75" thickBot="1" x14ac:dyDescent="0.3">
      <c r="B35" s="622"/>
      <c r="C35" s="2614"/>
      <c r="D35" s="2615"/>
      <c r="E35" s="657"/>
      <c r="F35" s="658"/>
      <c r="G35" s="1415"/>
      <c r="H35" s="674"/>
      <c r="I35" s="659"/>
      <c r="J35" s="645"/>
      <c r="K35" s="646"/>
      <c r="L35" s="614"/>
    </row>
    <row r="36" spans="2:12" ht="7.5" customHeight="1" x14ac:dyDescent="0.25">
      <c r="B36" s="616"/>
      <c r="C36" s="656"/>
      <c r="D36" s="656"/>
      <c r="E36" s="675"/>
      <c r="F36" s="675"/>
      <c r="G36" s="675"/>
      <c r="H36" s="675"/>
      <c r="I36" s="675"/>
      <c r="J36" s="675"/>
      <c r="K36" s="675"/>
      <c r="L36" s="618"/>
    </row>
    <row r="37" spans="2:12" ht="16.5" customHeight="1" thickBot="1" x14ac:dyDescent="0.3">
      <c r="B37" s="616"/>
      <c r="C37" s="653" t="s">
        <v>546</v>
      </c>
      <c r="D37" s="653"/>
      <c r="E37" s="653"/>
      <c r="F37" s="653"/>
      <c r="G37" s="653"/>
      <c r="H37" s="653"/>
      <c r="I37" s="619"/>
      <c r="J37" s="619"/>
      <c r="K37" s="619"/>
      <c r="L37" s="618"/>
    </row>
    <row r="38" spans="2:12" ht="36.75" thickBot="1" x14ac:dyDescent="0.3">
      <c r="B38" s="622"/>
      <c r="C38" s="669" t="s">
        <v>542</v>
      </c>
      <c r="D38" s="673"/>
      <c r="E38" s="624" t="s">
        <v>534</v>
      </c>
      <c r="F38" s="671" t="s">
        <v>535</v>
      </c>
      <c r="G38" s="624" t="s">
        <v>537</v>
      </c>
      <c r="H38" s="624" t="s">
        <v>663</v>
      </c>
      <c r="I38" s="624" t="s">
        <v>538</v>
      </c>
      <c r="J38" s="624" t="s">
        <v>543</v>
      </c>
      <c r="K38" s="625" t="s">
        <v>540</v>
      </c>
      <c r="L38" s="614"/>
    </row>
    <row r="39" spans="2:12" x14ac:dyDescent="0.25">
      <c r="B39" s="626"/>
      <c r="C39" s="800"/>
      <c r="D39" s="662"/>
      <c r="E39" s="737"/>
      <c r="F39" s="738"/>
      <c r="G39" s="628"/>
      <c r="H39" s="647"/>
      <c r="I39" s="630"/>
      <c r="J39" s="631"/>
      <c r="K39" s="632"/>
      <c r="L39" s="614"/>
    </row>
    <row r="40" spans="2:12" x14ac:dyDescent="0.25">
      <c r="B40" s="622"/>
      <c r="C40" s="801"/>
      <c r="D40" s="663"/>
      <c r="E40" s="672"/>
      <c r="F40" s="739"/>
      <c r="G40" s="634"/>
      <c r="H40" s="648"/>
      <c r="I40" s="636"/>
      <c r="J40" s="637"/>
      <c r="K40" s="638"/>
      <c r="L40" s="614"/>
    </row>
    <row r="41" spans="2:12" x14ac:dyDescent="0.25">
      <c r="B41" s="622"/>
      <c r="C41" s="798"/>
      <c r="D41" s="664"/>
      <c r="E41" s="672"/>
      <c r="F41" s="739"/>
      <c r="G41" s="634"/>
      <c r="H41" s="649"/>
      <c r="I41" s="636"/>
      <c r="J41" s="637"/>
      <c r="K41" s="638"/>
      <c r="L41" s="614"/>
    </row>
    <row r="42" spans="2:12" x14ac:dyDescent="0.25">
      <c r="B42" s="622"/>
      <c r="C42" s="798"/>
      <c r="D42" s="664"/>
      <c r="E42" s="672"/>
      <c r="F42" s="739"/>
      <c r="G42" s="634"/>
      <c r="H42" s="649"/>
      <c r="I42" s="636"/>
      <c r="J42" s="637"/>
      <c r="K42" s="638"/>
      <c r="L42" s="614"/>
    </row>
    <row r="43" spans="2:12" x14ac:dyDescent="0.25">
      <c r="B43" s="622"/>
      <c r="C43" s="798"/>
      <c r="D43" s="664"/>
      <c r="E43" s="672"/>
      <c r="F43" s="739"/>
      <c r="G43" s="634"/>
      <c r="H43" s="649"/>
      <c r="I43" s="636"/>
      <c r="J43" s="637"/>
      <c r="K43" s="638"/>
      <c r="L43" s="614"/>
    </row>
    <row r="44" spans="2:12" x14ac:dyDescent="0.25">
      <c r="B44" s="622"/>
      <c r="C44" s="798"/>
      <c r="D44" s="664"/>
      <c r="E44" s="672"/>
      <c r="F44" s="739"/>
      <c r="G44" s="634"/>
      <c r="H44" s="649"/>
      <c r="I44" s="636"/>
      <c r="J44" s="637"/>
      <c r="K44" s="638"/>
      <c r="L44" s="614"/>
    </row>
    <row r="45" spans="2:12" x14ac:dyDescent="0.25">
      <c r="B45" s="622"/>
      <c r="C45" s="798"/>
      <c r="D45" s="664"/>
      <c r="E45" s="672"/>
      <c r="F45" s="739"/>
      <c r="G45" s="634"/>
      <c r="H45" s="649"/>
      <c r="I45" s="636"/>
      <c r="J45" s="637"/>
      <c r="K45" s="638"/>
      <c r="L45" s="614"/>
    </row>
    <row r="46" spans="2:12" ht="15.75" thickBot="1" x14ac:dyDescent="0.3">
      <c r="B46" s="622"/>
      <c r="C46" s="799"/>
      <c r="D46" s="665"/>
      <c r="E46" s="740"/>
      <c r="F46" s="741"/>
      <c r="G46" s="658"/>
      <c r="H46" s="659"/>
      <c r="I46" s="659"/>
      <c r="J46" s="645"/>
      <c r="K46" s="646"/>
      <c r="L46" s="614"/>
    </row>
    <row r="47" spans="2:12" ht="9" customHeight="1" thickBot="1" x14ac:dyDescent="0.3">
      <c r="B47" s="650"/>
      <c r="C47" s="660"/>
      <c r="D47" s="660"/>
      <c r="E47" s="651"/>
      <c r="F47" s="651"/>
      <c r="G47" s="651"/>
      <c r="H47" s="651"/>
      <c r="I47" s="651"/>
      <c r="J47" s="651"/>
      <c r="K47" s="651"/>
      <c r="L47" s="652"/>
    </row>
  </sheetData>
  <sheetProtection password="9F6B" sheet="1" objects="1" scenarios="1" formatCells="0" formatColumns="0" formatRows="0" insertRows="0"/>
  <mergeCells count="14">
    <mergeCell ref="D18:I18"/>
    <mergeCell ref="C21:D21"/>
    <mergeCell ref="C34:D34"/>
    <mergeCell ref="C35:D35"/>
    <mergeCell ref="C24:D24"/>
    <mergeCell ref="C25:D25"/>
    <mergeCell ref="C26:D26"/>
    <mergeCell ref="C27:D27"/>
    <mergeCell ref="C28:D28"/>
    <mergeCell ref="C29:D29"/>
    <mergeCell ref="C30:D30"/>
    <mergeCell ref="C31:D31"/>
    <mergeCell ref="C32:D32"/>
    <mergeCell ref="C33:D33"/>
  </mergeCells>
  <dataValidations count="2">
    <dataValidation type="list" allowBlank="1" showInputMessage="1" showErrorMessage="1" sqref="F24:F35 F39:F46">
      <formula1>"NC,R,A"</formula1>
    </dataValidation>
    <dataValidation type="list" allowBlank="1" showInputMessage="1" showErrorMessage="1" sqref="E24:E35 E39:E46">
      <formula1>"MF,SF"</formula1>
    </dataValidation>
  </dataValidations>
  <pageMargins left="0.7" right="0.7" top="0.75" bottom="0.75" header="0.3" footer="0.3"/>
  <pageSetup scale="96" orientation="landscape" r:id="rId1"/>
  <headerFooter>
    <oddFooter>&amp;LForm 9D
Project Development Consultant Experience&amp;CCFA Forms&amp;REdition: 2015
Version: 1.1</oddFooter>
  </headerFooter>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K25"/>
  <sheetViews>
    <sheetView showGridLines="0" zoomScaleNormal="100" workbookViewId="0">
      <selection activeCell="F46" sqref="F46"/>
    </sheetView>
  </sheetViews>
  <sheetFormatPr defaultRowHeight="15" x14ac:dyDescent="0.25"/>
  <cols>
    <col min="1" max="2" width="1.7109375" style="844" customWidth="1"/>
    <col min="3" max="3" width="14.140625" style="844" customWidth="1"/>
    <col min="4" max="4" width="11.42578125" style="844" customWidth="1"/>
    <col min="5" max="5" width="14.28515625" style="844" customWidth="1"/>
    <col min="6" max="6" width="8.5703125" style="844" customWidth="1"/>
    <col min="7" max="7" width="22.85546875" style="844" customWidth="1"/>
    <col min="8" max="9" width="14.28515625" style="844" customWidth="1"/>
    <col min="10" max="10" width="12.85546875" style="844" customWidth="1"/>
    <col min="11" max="11" width="1.7109375" style="844" customWidth="1"/>
    <col min="12" max="16384" width="9.140625" style="844"/>
  </cols>
  <sheetData>
    <row r="5" spans="2:11" ht="19.5" customHeight="1" x14ac:dyDescent="0.25"/>
    <row r="6" spans="2:11" ht="7.5" customHeight="1" thickBot="1" x14ac:dyDescent="0.3">
      <c r="B6" s="1409"/>
      <c r="C6" s="1409"/>
      <c r="D6" s="1409"/>
      <c r="E6" s="1409"/>
      <c r="F6" s="1409"/>
      <c r="G6" s="1409"/>
      <c r="H6" s="1409"/>
      <c r="I6" s="1409"/>
      <c r="J6" s="1409"/>
      <c r="K6" s="1409"/>
    </row>
    <row r="7" spans="2:11" ht="9" customHeight="1" x14ac:dyDescent="0.25">
      <c r="B7" s="676"/>
      <c r="C7" s="610"/>
      <c r="D7" s="610"/>
      <c r="E7" s="610"/>
      <c r="F7" s="610"/>
      <c r="G7" s="610"/>
      <c r="H7" s="610"/>
      <c r="I7" s="610"/>
      <c r="J7" s="610"/>
      <c r="K7" s="612"/>
    </row>
    <row r="8" spans="2:11" ht="18.75" x14ac:dyDescent="0.3">
      <c r="B8" s="677"/>
      <c r="C8" s="1649" t="s">
        <v>1345</v>
      </c>
      <c r="D8" s="1731"/>
      <c r="E8" s="1731"/>
      <c r="F8" s="1731"/>
      <c r="G8" s="1731"/>
      <c r="H8" s="1731"/>
      <c r="I8" s="1731"/>
      <c r="J8" s="1731"/>
      <c r="K8" s="614"/>
    </row>
    <row r="9" spans="2:11" x14ac:dyDescent="0.25">
      <c r="B9" s="677"/>
      <c r="C9" s="615"/>
      <c r="D9" s="615"/>
      <c r="E9" s="615"/>
      <c r="F9" s="615"/>
      <c r="G9" s="615"/>
      <c r="H9" s="615"/>
      <c r="I9" s="615"/>
      <c r="J9" s="615"/>
      <c r="K9" s="614"/>
    </row>
    <row r="10" spans="2:11" x14ac:dyDescent="0.25">
      <c r="B10" s="616"/>
      <c r="C10" s="401" t="s">
        <v>1</v>
      </c>
      <c r="D10" s="2149" t="str">
        <f>IF('1A'!G5="","Enter Project Name on Form 1A",'1A'!G5)</f>
        <v>University District Apartments</v>
      </c>
      <c r="E10" s="2149"/>
      <c r="F10" s="2149"/>
      <c r="G10" s="2149"/>
      <c r="H10" s="1416"/>
      <c r="I10" s="1122"/>
      <c r="J10" s="1416"/>
      <c r="K10" s="618"/>
    </row>
    <row r="11" spans="2:11" x14ac:dyDescent="0.25">
      <c r="B11" s="622"/>
      <c r="C11" s="615"/>
      <c r="D11" s="608"/>
      <c r="E11" s="1410"/>
      <c r="F11" s="1410"/>
      <c r="G11" s="1410"/>
      <c r="H11" s="1410"/>
      <c r="I11" s="678"/>
      <c r="J11" s="678"/>
      <c r="K11" s="655"/>
    </row>
    <row r="12" spans="2:11" x14ac:dyDescent="0.25">
      <c r="B12" s="622"/>
      <c r="C12" s="2610" t="s">
        <v>547</v>
      </c>
      <c r="D12" s="2611"/>
      <c r="E12" s="2626" t="str">
        <f>IF('9A'!D55="","Enter Property Management Firm Name on Form 9A",'9A'!D55)</f>
        <v>Bellwether Housing</v>
      </c>
      <c r="F12" s="2626"/>
      <c r="G12" s="2626"/>
      <c r="H12" s="2626"/>
      <c r="I12" s="2626"/>
      <c r="J12" s="2627"/>
      <c r="K12" s="655"/>
    </row>
    <row r="13" spans="2:11" ht="15.75" thickBot="1" x14ac:dyDescent="0.3">
      <c r="B13" s="622"/>
      <c r="C13" s="675"/>
      <c r="D13" s="675"/>
      <c r="E13" s="675"/>
      <c r="F13" s="1410"/>
      <c r="G13" s="1410"/>
      <c r="H13" s="1410"/>
      <c r="I13" s="1410"/>
      <c r="J13" s="1410"/>
      <c r="K13" s="614"/>
    </row>
    <row r="14" spans="2:11" ht="36.75" thickBot="1" x14ac:dyDescent="0.3">
      <c r="B14" s="622"/>
      <c r="C14" s="669" t="s">
        <v>548</v>
      </c>
      <c r="D14" s="670"/>
      <c r="E14" s="624" t="s">
        <v>537</v>
      </c>
      <c r="F14" s="624" t="s">
        <v>663</v>
      </c>
      <c r="G14" s="624" t="s">
        <v>549</v>
      </c>
      <c r="H14" s="624" t="s">
        <v>550</v>
      </c>
      <c r="I14" s="624" t="s">
        <v>664</v>
      </c>
      <c r="J14" s="625" t="s">
        <v>665</v>
      </c>
      <c r="K14" s="614"/>
    </row>
    <row r="15" spans="2:11" ht="51.75" x14ac:dyDescent="0.25">
      <c r="B15" s="626"/>
      <c r="C15" s="2628" t="s">
        <v>1476</v>
      </c>
      <c r="D15" s="2629"/>
      <c r="E15" s="682" t="s">
        <v>1479</v>
      </c>
      <c r="F15" s="679" t="s">
        <v>1480</v>
      </c>
      <c r="G15" s="679" t="s">
        <v>712</v>
      </c>
      <c r="H15" s="679" t="s">
        <v>1505</v>
      </c>
      <c r="I15" s="679" t="s">
        <v>1506</v>
      </c>
      <c r="J15" s="632" t="s">
        <v>1507</v>
      </c>
      <c r="K15" s="614"/>
    </row>
    <row r="16" spans="2:11" ht="77.25" x14ac:dyDescent="0.25">
      <c r="B16" s="622"/>
      <c r="C16" s="2624" t="s">
        <v>1489</v>
      </c>
      <c r="D16" s="2625"/>
      <c r="E16" s="683" t="s">
        <v>1479</v>
      </c>
      <c r="F16" s="680" t="s">
        <v>1491</v>
      </c>
      <c r="G16" s="680" t="s">
        <v>712</v>
      </c>
      <c r="H16" s="680" t="s">
        <v>1508</v>
      </c>
      <c r="I16" s="680" t="s">
        <v>1506</v>
      </c>
      <c r="J16" s="638" t="s">
        <v>1494</v>
      </c>
      <c r="K16" s="614"/>
    </row>
    <row r="17" spans="2:11" ht="77.25" x14ac:dyDescent="0.25">
      <c r="B17" s="622"/>
      <c r="C17" s="2620" t="s">
        <v>1509</v>
      </c>
      <c r="D17" s="2621"/>
      <c r="E17" s="683" t="s">
        <v>1479</v>
      </c>
      <c r="F17" s="680" t="s">
        <v>1504</v>
      </c>
      <c r="G17" s="680" t="s">
        <v>1347</v>
      </c>
      <c r="H17" s="680" t="s">
        <v>1510</v>
      </c>
      <c r="I17" s="680" t="s">
        <v>1506</v>
      </c>
      <c r="J17" s="638" t="s">
        <v>1511</v>
      </c>
      <c r="K17" s="614"/>
    </row>
    <row r="18" spans="2:11" ht="51.75" x14ac:dyDescent="0.25">
      <c r="B18" s="622"/>
      <c r="C18" s="2620" t="s">
        <v>1512</v>
      </c>
      <c r="D18" s="2621"/>
      <c r="E18" s="683" t="s">
        <v>1479</v>
      </c>
      <c r="F18" s="680" t="s">
        <v>1513</v>
      </c>
      <c r="G18" s="680" t="s">
        <v>712</v>
      </c>
      <c r="H18" s="680" t="s">
        <v>1514</v>
      </c>
      <c r="I18" s="680" t="s">
        <v>1506</v>
      </c>
      <c r="J18" s="638" t="s">
        <v>1515</v>
      </c>
      <c r="K18" s="614"/>
    </row>
    <row r="19" spans="2:11" ht="39" x14ac:dyDescent="0.25">
      <c r="B19" s="622"/>
      <c r="C19" s="2620" t="s">
        <v>1516</v>
      </c>
      <c r="D19" s="2621"/>
      <c r="E19" s="683" t="s">
        <v>1479</v>
      </c>
      <c r="F19" s="680" t="s">
        <v>1513</v>
      </c>
      <c r="G19" s="680" t="s">
        <v>712</v>
      </c>
      <c r="H19" s="680" t="s">
        <v>1517</v>
      </c>
      <c r="I19" s="680" t="s">
        <v>1506</v>
      </c>
      <c r="J19" s="638" t="s">
        <v>1518</v>
      </c>
      <c r="K19" s="614"/>
    </row>
    <row r="20" spans="2:11" ht="39" x14ac:dyDescent="0.25">
      <c r="B20" s="640"/>
      <c r="C20" s="2620" t="s">
        <v>1519</v>
      </c>
      <c r="D20" s="2621"/>
      <c r="E20" s="683" t="s">
        <v>1479</v>
      </c>
      <c r="F20" s="680" t="s">
        <v>1513</v>
      </c>
      <c r="G20" s="680" t="s">
        <v>712</v>
      </c>
      <c r="H20" s="680" t="s">
        <v>1520</v>
      </c>
      <c r="I20" s="680" t="s">
        <v>1506</v>
      </c>
      <c r="J20" s="638" t="s">
        <v>1521</v>
      </c>
      <c r="K20" s="614"/>
    </row>
    <row r="21" spans="2:11" ht="39" x14ac:dyDescent="0.25">
      <c r="B21" s="640"/>
      <c r="C21" s="2620" t="s">
        <v>1522</v>
      </c>
      <c r="D21" s="2621"/>
      <c r="E21" s="683" t="s">
        <v>1479</v>
      </c>
      <c r="F21" s="680" t="s">
        <v>1523</v>
      </c>
      <c r="G21" s="680" t="s">
        <v>712</v>
      </c>
      <c r="H21" s="680" t="s">
        <v>1524</v>
      </c>
      <c r="I21" s="680" t="s">
        <v>1506</v>
      </c>
      <c r="J21" s="638" t="s">
        <v>1525</v>
      </c>
      <c r="K21" s="614"/>
    </row>
    <row r="22" spans="2:11" ht="26.25" x14ac:dyDescent="0.25">
      <c r="B22" s="640"/>
      <c r="C22" s="2620" t="s">
        <v>1526</v>
      </c>
      <c r="D22" s="2621"/>
      <c r="E22" s="683" t="s">
        <v>1479</v>
      </c>
      <c r="F22" s="680" t="s">
        <v>1527</v>
      </c>
      <c r="G22" s="680" t="s">
        <v>712</v>
      </c>
      <c r="H22" s="680" t="s">
        <v>1524</v>
      </c>
      <c r="I22" s="680" t="s">
        <v>1506</v>
      </c>
      <c r="J22" s="638" t="s">
        <v>1528</v>
      </c>
      <c r="K22" s="614"/>
    </row>
    <row r="23" spans="2:11" ht="26.25" x14ac:dyDescent="0.25">
      <c r="B23" s="622"/>
      <c r="C23" s="2620" t="s">
        <v>1529</v>
      </c>
      <c r="D23" s="2621"/>
      <c r="E23" s="683" t="s">
        <v>1479</v>
      </c>
      <c r="F23" s="680" t="s">
        <v>1530</v>
      </c>
      <c r="G23" s="680" t="s">
        <v>712</v>
      </c>
      <c r="H23" s="680" t="s">
        <v>1531</v>
      </c>
      <c r="I23" s="680" t="s">
        <v>1506</v>
      </c>
      <c r="J23" s="638" t="s">
        <v>1532</v>
      </c>
      <c r="K23" s="614"/>
    </row>
    <row r="24" spans="2:11" ht="39.75" thickBot="1" x14ac:dyDescent="0.3">
      <c r="B24" s="622"/>
      <c r="C24" s="2622" t="s">
        <v>1533</v>
      </c>
      <c r="D24" s="2623"/>
      <c r="E24" s="684" t="s">
        <v>1479</v>
      </c>
      <c r="F24" s="681" t="s">
        <v>1534</v>
      </c>
      <c r="G24" s="681" t="s">
        <v>712</v>
      </c>
      <c r="H24" s="681" t="s">
        <v>1535</v>
      </c>
      <c r="I24" s="681" t="s">
        <v>1506</v>
      </c>
      <c r="J24" s="646" t="s">
        <v>1536</v>
      </c>
      <c r="K24" s="614"/>
    </row>
    <row r="25" spans="2:11" ht="9" customHeight="1" thickBot="1" x14ac:dyDescent="0.3">
      <c r="B25" s="650"/>
      <c r="C25" s="651"/>
      <c r="D25" s="651"/>
      <c r="E25" s="651"/>
      <c r="F25" s="651"/>
      <c r="G25" s="651"/>
      <c r="H25" s="651"/>
      <c r="I25" s="651"/>
      <c r="J25" s="651"/>
      <c r="K25" s="652"/>
    </row>
  </sheetData>
  <sheetProtection password="9F6B" sheet="1" objects="1" scenarios="1" formatCells="0" formatColumns="0" formatRows="0" insertRows="0"/>
  <mergeCells count="13">
    <mergeCell ref="E12:J12"/>
    <mergeCell ref="D10:G10"/>
    <mergeCell ref="C12:D12"/>
    <mergeCell ref="C15:D15"/>
    <mergeCell ref="C21:D21"/>
    <mergeCell ref="C22:D22"/>
    <mergeCell ref="C23:D23"/>
    <mergeCell ref="C24:D24"/>
    <mergeCell ref="C16:D16"/>
    <mergeCell ref="C17:D17"/>
    <mergeCell ref="C18:D18"/>
    <mergeCell ref="C19:D19"/>
    <mergeCell ref="C20:D20"/>
  </mergeCells>
  <dataValidations disablePrompts="1" count="1">
    <dataValidation type="list" allowBlank="1" showInputMessage="1" showErrorMessage="1" sqref="G15:G24">
      <formula1>Population_Types</formula1>
    </dataValidation>
  </dataValidations>
  <pageMargins left="0.7" right="0.7" top="0.75" bottom="0.75" header="0.3" footer="0.3"/>
  <pageSetup fitToHeight="0" orientation="landscape" r:id="rId1"/>
  <headerFooter>
    <oddFooter>&amp;LForm 9E
Project Property Management Firm Experience&amp;CCFA Forms&amp;REdition: 2015
Version: 1.1</oddFooter>
  </headerFooter>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P163"/>
  <sheetViews>
    <sheetView showGridLines="0" zoomScaleNormal="100" zoomScaleSheetLayoutView="90" workbookViewId="0">
      <selection activeCell="F82" sqref="F82:G82"/>
    </sheetView>
  </sheetViews>
  <sheetFormatPr defaultColWidth="13.7109375" defaultRowHeight="15" x14ac:dyDescent="0.25"/>
  <cols>
    <col min="1" max="2" width="1.7109375" style="839" customWidth="1"/>
    <col min="3" max="5" width="2.85546875" style="839" customWidth="1"/>
    <col min="6" max="6" width="11.42578125" style="839" customWidth="1"/>
    <col min="7" max="7" width="8.5703125" style="839" customWidth="1"/>
    <col min="8" max="8" width="11.42578125" style="839" customWidth="1"/>
    <col min="9" max="9" width="12.85546875" style="839" customWidth="1"/>
    <col min="10" max="10" width="10" style="839" customWidth="1"/>
    <col min="11" max="11" width="7.140625" style="839" customWidth="1"/>
    <col min="12" max="12" width="15.7109375" style="839" customWidth="1"/>
    <col min="13" max="13" width="11.42578125" style="839" customWidth="1"/>
    <col min="14" max="14" width="8.5703125" style="839" customWidth="1"/>
    <col min="15" max="16" width="1.7109375" style="839" customWidth="1"/>
    <col min="17" max="16384" width="13.7109375" style="839"/>
  </cols>
  <sheetData>
    <row r="12" spans="2:15" ht="21.75" customHeight="1" thickBot="1" x14ac:dyDescent="0.3"/>
    <row r="13" spans="2:15" x14ac:dyDescent="0.25">
      <c r="B13" s="1420"/>
      <c r="C13" s="1421"/>
      <c r="D13" s="1421"/>
      <c r="E13" s="1421"/>
      <c r="F13" s="1421"/>
      <c r="G13" s="1421"/>
      <c r="H13" s="1421"/>
      <c r="I13" s="1421"/>
      <c r="J13" s="1421"/>
      <c r="K13" s="1421"/>
      <c r="L13" s="1421"/>
      <c r="M13" s="1421"/>
      <c r="N13" s="1421"/>
      <c r="O13" s="1422"/>
    </row>
    <row r="14" spans="2:15" ht="18.75" x14ac:dyDescent="0.3">
      <c r="B14" s="1423"/>
      <c r="C14" s="2225" t="s">
        <v>551</v>
      </c>
      <c r="D14" s="2225"/>
      <c r="E14" s="2225"/>
      <c r="F14" s="2225"/>
      <c r="G14" s="2225"/>
      <c r="H14" s="2225"/>
      <c r="I14" s="2225"/>
      <c r="J14" s="2225"/>
      <c r="K14" s="2225"/>
      <c r="L14" s="2225"/>
      <c r="M14" s="2225"/>
      <c r="N14" s="2225"/>
      <c r="O14" s="1424"/>
    </row>
    <row r="15" spans="2:15" x14ac:dyDescent="0.25">
      <c r="B15" s="1423"/>
      <c r="C15" s="1153"/>
      <c r="D15" s="1153"/>
      <c r="E15" s="1153"/>
      <c r="F15" s="1153"/>
      <c r="G15" s="1153"/>
      <c r="H15" s="1153"/>
      <c r="I15" s="1153"/>
      <c r="J15" s="1153"/>
      <c r="K15" s="1153"/>
      <c r="L15" s="1153"/>
      <c r="M15" s="1153"/>
      <c r="N15" s="1153"/>
      <c r="O15" s="1424"/>
    </row>
    <row r="16" spans="2:15" x14ac:dyDescent="0.25">
      <c r="B16" s="1423"/>
      <c r="C16" s="821"/>
      <c r="D16" s="1311" t="s">
        <v>334</v>
      </c>
      <c r="E16" s="1123"/>
      <c r="F16" s="1123"/>
      <c r="G16" s="1122" t="str">
        <f>IF('1A'!G5="","Enter Project Name on Form 1A",'1A'!G5)</f>
        <v>University District Apartments</v>
      </c>
      <c r="H16" s="1122"/>
      <c r="I16" s="1122"/>
      <c r="J16" s="1122"/>
      <c r="K16" s="1122"/>
      <c r="L16" s="1122"/>
      <c r="M16" s="1122"/>
      <c r="N16" s="1153"/>
      <c r="O16" s="1424"/>
    </row>
    <row r="17" spans="2:16" ht="30" customHeight="1" x14ac:dyDescent="0.25">
      <c r="B17" s="1423"/>
      <c r="C17" s="1208"/>
      <c r="D17" s="1208"/>
      <c r="E17" s="1208"/>
      <c r="F17" s="1208"/>
      <c r="G17" s="821"/>
      <c r="H17" s="1208"/>
      <c r="I17" s="1208"/>
      <c r="J17" s="1208"/>
      <c r="K17" s="1208"/>
      <c r="L17" s="1208"/>
      <c r="M17" s="1425"/>
      <c r="N17" s="1426" t="s">
        <v>552</v>
      </c>
      <c r="O17" s="1424"/>
      <c r="P17" s="400"/>
    </row>
    <row r="18" spans="2:16" x14ac:dyDescent="0.25">
      <c r="B18" s="1423"/>
      <c r="C18" s="257">
        <v>1</v>
      </c>
      <c r="D18" s="1427" t="s">
        <v>667</v>
      </c>
      <c r="E18" s="1427"/>
      <c r="F18" s="1428"/>
      <c r="G18" s="1429"/>
      <c r="H18" s="1429"/>
      <c r="I18" s="1429"/>
      <c r="J18" s="1429"/>
      <c r="K18" s="1429"/>
      <c r="L18" s="1429"/>
      <c r="M18" s="1430"/>
      <c r="N18" s="1417">
        <v>60</v>
      </c>
      <c r="O18" s="1424"/>
      <c r="P18" s="840"/>
    </row>
    <row r="19" spans="2:16" ht="3.75" customHeight="1" x14ac:dyDescent="0.25">
      <c r="B19" s="1423"/>
      <c r="C19" s="1208"/>
      <c r="D19" s="699"/>
      <c r="E19" s="699"/>
      <c r="F19" s="1209"/>
      <c r="G19" s="699"/>
      <c r="H19" s="699"/>
      <c r="I19" s="699"/>
      <c r="J19" s="699"/>
      <c r="K19" s="699"/>
      <c r="L19" s="699"/>
      <c r="M19" s="699"/>
      <c r="N19" s="699"/>
      <c r="O19" s="1424"/>
      <c r="P19" s="400"/>
    </row>
    <row r="20" spans="2:16" x14ac:dyDescent="0.25">
      <c r="B20" s="1423"/>
      <c r="C20" s="1208"/>
      <c r="D20" s="2640" t="s">
        <v>553</v>
      </c>
      <c r="E20" s="2640"/>
      <c r="F20" s="2640"/>
      <c r="G20" s="2640"/>
      <c r="H20" s="2640"/>
      <c r="I20" s="2640"/>
      <c r="J20" s="2640"/>
      <c r="K20" s="2640"/>
      <c r="L20" s="2640"/>
      <c r="M20" s="2640"/>
      <c r="N20" s="699"/>
      <c r="O20" s="1424"/>
      <c r="P20" s="400"/>
    </row>
    <row r="21" spans="2:16" x14ac:dyDescent="0.25">
      <c r="B21" s="1423"/>
      <c r="C21" s="1208"/>
      <c r="D21" s="699"/>
      <c r="E21" s="257"/>
      <c r="F21" s="1431" t="s">
        <v>554</v>
      </c>
      <c r="G21" s="1153"/>
      <c r="H21" s="1153"/>
      <c r="I21" s="2639" t="s">
        <v>844</v>
      </c>
      <c r="J21" s="2639"/>
      <c r="K21" s="2639"/>
      <c r="L21" s="2639"/>
      <c r="M21" s="2639"/>
      <c r="N21" s="1123"/>
      <c r="O21" s="1424"/>
      <c r="P21" s="400"/>
    </row>
    <row r="22" spans="2:16" x14ac:dyDescent="0.25">
      <c r="B22" s="1423"/>
      <c r="C22" s="1208"/>
      <c r="D22" s="699"/>
      <c r="E22" s="257"/>
      <c r="F22" s="1432" t="s">
        <v>556</v>
      </c>
      <c r="G22" s="1153"/>
      <c r="H22" s="1153"/>
      <c r="I22" s="2639"/>
      <c r="J22" s="2639"/>
      <c r="K22" s="2639"/>
      <c r="L22" s="2639"/>
      <c r="M22" s="2639"/>
      <c r="N22" s="1123"/>
      <c r="O22" s="1424"/>
      <c r="P22" s="400"/>
    </row>
    <row r="23" spans="2:16" ht="7.5" customHeight="1" x14ac:dyDescent="0.25">
      <c r="B23" s="1433"/>
      <c r="C23" s="1311"/>
      <c r="D23" s="1311"/>
      <c r="E23" s="1311"/>
      <c r="F23" s="1434"/>
      <c r="G23" s="1434"/>
      <c r="H23" s="1434"/>
      <c r="I23" s="1434"/>
      <c r="J23" s="1434"/>
      <c r="K23" s="1434"/>
      <c r="L23" s="1434"/>
      <c r="M23" s="1434"/>
      <c r="N23" s="1311"/>
      <c r="O23" s="1435"/>
    </row>
    <row r="24" spans="2:16" x14ac:dyDescent="0.25">
      <c r="B24" s="1423"/>
      <c r="C24" s="1208"/>
      <c r="D24" s="1208"/>
      <c r="E24" s="257"/>
      <c r="F24" s="1436" t="s">
        <v>558</v>
      </c>
      <c r="G24" s="1208"/>
      <c r="H24" s="1208"/>
      <c r="I24" s="2639" t="s">
        <v>811</v>
      </c>
      <c r="J24" s="2639"/>
      <c r="K24" s="2639"/>
      <c r="L24" s="2639"/>
      <c r="M24" s="2639"/>
      <c r="N24" s="1123"/>
      <c r="O24" s="1424"/>
      <c r="P24" s="400"/>
    </row>
    <row r="25" spans="2:16" x14ac:dyDescent="0.25">
      <c r="B25" s="1423"/>
      <c r="C25" s="1208"/>
      <c r="D25" s="699"/>
      <c r="E25" s="257"/>
      <c r="F25" s="1432" t="s">
        <v>556</v>
      </c>
      <c r="G25" s="1153"/>
      <c r="H25" s="1153"/>
      <c r="I25" s="2639" t="s">
        <v>1537</v>
      </c>
      <c r="J25" s="2639"/>
      <c r="K25" s="2639"/>
      <c r="L25" s="2639"/>
      <c r="M25" s="2639"/>
      <c r="N25" s="1123"/>
      <c r="O25" s="1424"/>
      <c r="P25" s="400"/>
    </row>
    <row r="26" spans="2:16" x14ac:dyDescent="0.25">
      <c r="B26" s="1423"/>
      <c r="C26" s="1208"/>
      <c r="D26" s="1208"/>
      <c r="E26" s="257"/>
      <c r="F26" s="1208"/>
      <c r="G26" s="1208"/>
      <c r="H26" s="1208"/>
      <c r="I26" s="1208"/>
      <c r="J26" s="1208"/>
      <c r="K26" s="1208"/>
      <c r="L26" s="1208"/>
      <c r="M26" s="1208"/>
      <c r="N26" s="1208"/>
      <c r="O26" s="1424"/>
      <c r="P26" s="400"/>
    </row>
    <row r="27" spans="2:16" x14ac:dyDescent="0.25">
      <c r="B27" s="1423"/>
      <c r="C27" s="257">
        <v>2</v>
      </c>
      <c r="D27" s="1427" t="s">
        <v>668</v>
      </c>
      <c r="E27" s="1427"/>
      <c r="F27" s="1428"/>
      <c r="G27" s="1429"/>
      <c r="H27" s="1429"/>
      <c r="I27" s="1429"/>
      <c r="J27" s="1429"/>
      <c r="K27" s="1429"/>
      <c r="L27" s="1429"/>
      <c r="M27" s="1430"/>
      <c r="N27" s="1417">
        <v>44</v>
      </c>
      <c r="O27" s="1424"/>
      <c r="P27" s="840"/>
    </row>
    <row r="28" spans="2:16" ht="3.75" customHeight="1" x14ac:dyDescent="0.25">
      <c r="B28" s="1423"/>
      <c r="C28" s="1208"/>
      <c r="D28" s="699"/>
      <c r="E28" s="699"/>
      <c r="F28" s="1209"/>
      <c r="G28" s="699"/>
      <c r="H28" s="699"/>
      <c r="I28" s="699"/>
      <c r="J28" s="699"/>
      <c r="K28" s="699"/>
      <c r="L28" s="699"/>
      <c r="M28" s="1437"/>
      <c r="N28" s="699"/>
      <c r="O28" s="1424"/>
      <c r="P28" s="400"/>
    </row>
    <row r="29" spans="2:16" x14ac:dyDescent="0.25">
      <c r="B29" s="1423"/>
      <c r="C29" s="1208"/>
      <c r="D29" s="2640" t="s">
        <v>560</v>
      </c>
      <c r="E29" s="2640"/>
      <c r="F29" s="2640"/>
      <c r="G29" s="2640"/>
      <c r="H29" s="2640"/>
      <c r="I29" s="2640"/>
      <c r="J29" s="2640"/>
      <c r="K29" s="2640"/>
      <c r="L29" s="2640"/>
      <c r="M29" s="2640"/>
      <c r="N29" s="1208"/>
      <c r="O29" s="1424"/>
      <c r="P29" s="400"/>
    </row>
    <row r="30" spans="2:16" ht="7.5" customHeight="1" x14ac:dyDescent="0.25">
      <c r="B30" s="1423"/>
      <c r="C30" s="1208"/>
      <c r="D30" s="1209"/>
      <c r="E30" s="1209"/>
      <c r="F30" s="1208"/>
      <c r="G30" s="1208"/>
      <c r="H30" s="1208"/>
      <c r="I30" s="1208"/>
      <c r="J30" s="1208"/>
      <c r="K30" s="1208"/>
      <c r="L30" s="1208"/>
      <c r="M30" s="1208"/>
      <c r="N30" s="1208"/>
      <c r="O30" s="1424"/>
      <c r="P30" s="400"/>
    </row>
    <row r="31" spans="2:16" x14ac:dyDescent="0.25">
      <c r="B31" s="1423"/>
      <c r="C31" s="1208"/>
      <c r="D31" s="1208"/>
      <c r="E31" s="1208"/>
      <c r="F31" s="2630" t="s">
        <v>693</v>
      </c>
      <c r="G31" s="2630"/>
      <c r="H31" s="699"/>
      <c r="I31" s="1431"/>
      <c r="J31" s="1438"/>
      <c r="K31" s="1439"/>
      <c r="L31" s="1208"/>
      <c r="M31" s="1208"/>
      <c r="N31" s="1208"/>
      <c r="O31" s="1424"/>
    </row>
    <row r="32" spans="2:16" x14ac:dyDescent="0.25">
      <c r="B32" s="1423"/>
      <c r="C32" s="1208"/>
      <c r="D32" s="1208"/>
      <c r="E32" s="1208"/>
      <c r="F32" s="1208"/>
      <c r="G32" s="1208"/>
      <c r="H32" s="1208"/>
      <c r="I32" s="1208"/>
      <c r="J32" s="1208"/>
      <c r="K32" s="1208"/>
      <c r="L32" s="1208"/>
      <c r="M32" s="1208"/>
      <c r="N32" s="1208"/>
      <c r="O32" s="1424"/>
    </row>
    <row r="33" spans="2:15" s="1418" customFormat="1" x14ac:dyDescent="0.25">
      <c r="B33" s="1440"/>
      <c r="C33" s="257">
        <v>3</v>
      </c>
      <c r="D33" s="1427" t="s">
        <v>669</v>
      </c>
      <c r="E33" s="1427"/>
      <c r="F33" s="1441"/>
      <c r="G33" s="1429"/>
      <c r="H33" s="1429"/>
      <c r="I33" s="1429"/>
      <c r="J33" s="1429"/>
      <c r="K33" s="1429"/>
      <c r="L33" s="1429"/>
      <c r="M33" s="1430"/>
      <c r="N33" s="1417">
        <v>20</v>
      </c>
      <c r="O33" s="1442"/>
    </row>
    <row r="34" spans="2:15" ht="3.75" customHeight="1" x14ac:dyDescent="0.25">
      <c r="B34" s="1423"/>
      <c r="C34" s="1208"/>
      <c r="D34" s="699"/>
      <c r="E34" s="699"/>
      <c r="F34" s="1209"/>
      <c r="G34" s="699"/>
      <c r="H34" s="699"/>
      <c r="I34" s="699"/>
      <c r="J34" s="699"/>
      <c r="K34" s="699"/>
      <c r="L34" s="699"/>
      <c r="M34" s="699"/>
      <c r="N34" s="699"/>
      <c r="O34" s="1424"/>
    </row>
    <row r="35" spans="2:15" ht="30" customHeight="1" x14ac:dyDescent="0.25">
      <c r="B35" s="1423"/>
      <c r="C35" s="1208"/>
      <c r="D35" s="2631" t="s">
        <v>562</v>
      </c>
      <c r="E35" s="2631"/>
      <c r="F35" s="2631"/>
      <c r="G35" s="2631"/>
      <c r="H35" s="2631"/>
      <c r="I35" s="2631"/>
      <c r="J35" s="2631"/>
      <c r="K35" s="2631"/>
      <c r="L35" s="2631"/>
      <c r="M35" s="2631"/>
      <c r="N35" s="1443"/>
      <c r="O35" s="1444"/>
    </row>
    <row r="36" spans="2:15" ht="7.5" customHeight="1" x14ac:dyDescent="0.25">
      <c r="B36" s="1423"/>
      <c r="C36" s="1208"/>
      <c r="D36" s="1208"/>
      <c r="E36" s="1208"/>
      <c r="F36" s="1443"/>
      <c r="G36" s="1443"/>
      <c r="H36" s="1443"/>
      <c r="I36" s="1443"/>
      <c r="J36" s="1209" t="s">
        <v>330</v>
      </c>
      <c r="K36" s="1443"/>
      <c r="L36" s="1443"/>
      <c r="M36" s="1443"/>
      <c r="N36" s="1443"/>
      <c r="O36" s="1444"/>
    </row>
    <row r="37" spans="2:15" x14ac:dyDescent="0.25">
      <c r="B37" s="1423"/>
      <c r="C37" s="1208"/>
      <c r="D37" s="821"/>
      <c r="E37" s="401" t="s">
        <v>695</v>
      </c>
      <c r="F37" s="1208"/>
      <c r="G37" s="1431"/>
      <c r="H37" s="1431"/>
      <c r="I37" s="1431"/>
      <c r="J37" s="1431"/>
      <c r="K37" s="1431"/>
      <c r="L37" s="1208"/>
      <c r="M37" s="1208"/>
      <c r="N37" s="1208"/>
      <c r="O37" s="1424"/>
    </row>
    <row r="38" spans="2:15" x14ac:dyDescent="0.25">
      <c r="B38" s="1423"/>
      <c r="C38" s="1208"/>
      <c r="D38" s="1208"/>
      <c r="E38" s="1208"/>
      <c r="F38" s="2632" t="s">
        <v>561</v>
      </c>
      <c r="G38" s="2632"/>
      <c r="H38" s="2632"/>
      <c r="I38" s="2632"/>
      <c r="J38" s="2632"/>
      <c r="K38" s="2632"/>
      <c r="L38" s="2632"/>
      <c r="M38" s="2632"/>
      <c r="N38" s="1431"/>
      <c r="O38" s="1424"/>
    </row>
    <row r="39" spans="2:15" x14ac:dyDescent="0.25">
      <c r="B39" s="1423"/>
      <c r="C39" s="1208"/>
      <c r="D39" s="1208"/>
      <c r="E39" s="1208"/>
      <c r="F39" s="1445"/>
      <c r="G39" s="1445"/>
      <c r="H39" s="1445"/>
      <c r="I39" s="1445"/>
      <c r="J39" s="1445"/>
      <c r="K39" s="1445"/>
      <c r="L39" s="1445"/>
      <c r="M39" s="1445"/>
      <c r="N39" s="1445"/>
      <c r="O39" s="1424"/>
    </row>
    <row r="40" spans="2:15" x14ac:dyDescent="0.25">
      <c r="B40" s="1423"/>
      <c r="C40" s="1208"/>
      <c r="D40" s="821"/>
      <c r="E40" s="401" t="s">
        <v>696</v>
      </c>
      <c r="F40" s="1208"/>
      <c r="G40" s="1431"/>
      <c r="H40" s="1431"/>
      <c r="I40" s="1431"/>
      <c r="J40" s="1431"/>
      <c r="K40" s="1431"/>
      <c r="L40" s="1208"/>
      <c r="M40" s="1208"/>
      <c r="N40" s="1208"/>
      <c r="O40" s="1424"/>
    </row>
    <row r="41" spans="2:15" x14ac:dyDescent="0.25">
      <c r="B41" s="1423"/>
      <c r="C41" s="1208"/>
      <c r="D41" s="1208"/>
      <c r="E41" s="1208"/>
      <c r="F41" s="2632" t="s">
        <v>917</v>
      </c>
      <c r="G41" s="2632"/>
      <c r="H41" s="2632"/>
      <c r="I41" s="2632"/>
      <c r="J41" s="2632"/>
      <c r="K41" s="2632"/>
      <c r="L41" s="2632"/>
      <c r="M41" s="2632"/>
      <c r="N41" s="1431"/>
      <c r="O41" s="1424"/>
    </row>
    <row r="42" spans="2:15" ht="7.5" customHeight="1" x14ac:dyDescent="0.25">
      <c r="B42" s="1423"/>
      <c r="C42" s="1208"/>
      <c r="D42" s="1208"/>
      <c r="E42" s="1208"/>
      <c r="F42" s="1446"/>
      <c r="G42" s="1447"/>
      <c r="H42" s="1447"/>
      <c r="I42" s="1447"/>
      <c r="J42" s="1447"/>
      <c r="K42" s="1447"/>
      <c r="L42" s="1446"/>
      <c r="M42" s="1446"/>
      <c r="N42" s="1446"/>
      <c r="O42" s="1424"/>
    </row>
    <row r="43" spans="2:15" x14ac:dyDescent="0.25">
      <c r="B43" s="1423"/>
      <c r="C43" s="1208"/>
      <c r="D43" s="1208"/>
      <c r="E43" s="1208"/>
      <c r="F43" s="2632" t="s">
        <v>919</v>
      </c>
      <c r="G43" s="2632"/>
      <c r="H43" s="2632"/>
      <c r="I43" s="2632"/>
      <c r="J43" s="2632"/>
      <c r="K43" s="2632"/>
      <c r="L43" s="2632"/>
      <c r="M43" s="2632"/>
      <c r="N43" s="1431"/>
      <c r="O43" s="1424"/>
    </row>
    <row r="44" spans="2:15" x14ac:dyDescent="0.25">
      <c r="B44" s="1423"/>
      <c r="C44" s="1208"/>
      <c r="D44" s="1208"/>
      <c r="E44" s="1208"/>
      <c r="F44" s="1445"/>
      <c r="G44" s="1445"/>
      <c r="H44" s="1208"/>
      <c r="I44" s="1445"/>
      <c r="J44" s="1445"/>
      <c r="K44" s="1445"/>
      <c r="L44" s="1445"/>
      <c r="M44" s="1448"/>
      <c r="N44" s="1445"/>
      <c r="O44" s="1424"/>
    </row>
    <row r="45" spans="2:15" x14ac:dyDescent="0.25">
      <c r="B45" s="1423"/>
      <c r="C45" s="257">
        <v>4</v>
      </c>
      <c r="D45" s="1427" t="s">
        <v>670</v>
      </c>
      <c r="E45" s="1427"/>
      <c r="F45" s="1428"/>
      <c r="G45" s="1429"/>
      <c r="H45" s="1429"/>
      <c r="I45" s="1429"/>
      <c r="J45" s="1429"/>
      <c r="K45" s="1429"/>
      <c r="L45" s="1429"/>
      <c r="M45" s="1430"/>
      <c r="N45" s="1417">
        <v>5</v>
      </c>
      <c r="O45" s="1424"/>
    </row>
    <row r="46" spans="2:15" ht="3.75" customHeight="1" x14ac:dyDescent="0.25">
      <c r="B46" s="1423"/>
      <c r="C46" s="1208"/>
      <c r="D46" s="699"/>
      <c r="E46" s="699"/>
      <c r="F46" s="1209"/>
      <c r="G46" s="699"/>
      <c r="H46" s="699"/>
      <c r="I46" s="699"/>
      <c r="J46" s="699"/>
      <c r="K46" s="699"/>
      <c r="L46" s="699"/>
      <c r="M46" s="1437"/>
      <c r="N46" s="699"/>
      <c r="O46" s="1424"/>
    </row>
    <row r="47" spans="2:15" ht="30" customHeight="1" x14ac:dyDescent="0.25">
      <c r="B47" s="1423"/>
      <c r="C47" s="1208"/>
      <c r="D47" s="2631" t="s">
        <v>563</v>
      </c>
      <c r="E47" s="2631"/>
      <c r="F47" s="2631"/>
      <c r="G47" s="2631"/>
      <c r="H47" s="2631"/>
      <c r="I47" s="2631"/>
      <c r="J47" s="2631"/>
      <c r="K47" s="2631"/>
      <c r="L47" s="2631"/>
      <c r="M47" s="2631"/>
      <c r="N47" s="1443"/>
      <c r="O47" s="1424"/>
    </row>
    <row r="48" spans="2:15" x14ac:dyDescent="0.25">
      <c r="B48" s="1423"/>
      <c r="C48" s="1208"/>
      <c r="D48" s="1208"/>
      <c r="E48" s="1208"/>
      <c r="F48" s="1208"/>
      <c r="G48" s="1208"/>
      <c r="H48" s="1445"/>
      <c r="I48" s="1445"/>
      <c r="J48" s="1445"/>
      <c r="K48" s="1445"/>
      <c r="L48" s="1445"/>
      <c r="M48" s="1445"/>
      <c r="N48" s="1208"/>
      <c r="O48" s="1424"/>
    </row>
    <row r="49" spans="2:15" x14ac:dyDescent="0.25">
      <c r="B49" s="1423"/>
      <c r="C49" s="257">
        <v>5</v>
      </c>
      <c r="D49" s="1427" t="s">
        <v>671</v>
      </c>
      <c r="E49" s="1427"/>
      <c r="F49" s="1428"/>
      <c r="G49" s="1429"/>
      <c r="H49" s="1429"/>
      <c r="I49" s="1429"/>
      <c r="J49" s="1429"/>
      <c r="K49" s="1429"/>
      <c r="L49" s="1429"/>
      <c r="M49" s="1430"/>
      <c r="N49" s="1417">
        <v>0</v>
      </c>
      <c r="O49" s="1424"/>
    </row>
    <row r="50" spans="2:15" ht="3.75" customHeight="1" x14ac:dyDescent="0.25">
      <c r="B50" s="1423"/>
      <c r="C50" s="1208"/>
      <c r="D50" s="699"/>
      <c r="E50" s="699"/>
      <c r="F50" s="1209"/>
      <c r="G50" s="699"/>
      <c r="H50" s="699"/>
      <c r="I50" s="699"/>
      <c r="J50" s="699"/>
      <c r="K50" s="699"/>
      <c r="L50" s="699"/>
      <c r="M50" s="1437"/>
      <c r="N50" s="699"/>
      <c r="O50" s="1424"/>
    </row>
    <row r="51" spans="2:15" ht="15" customHeight="1" x14ac:dyDescent="0.25">
      <c r="B51" s="1423"/>
      <c r="C51" s="1208"/>
      <c r="D51" s="2631" t="s">
        <v>564</v>
      </c>
      <c r="E51" s="2631"/>
      <c r="F51" s="2631"/>
      <c r="G51" s="2631"/>
      <c r="H51" s="2631"/>
      <c r="I51" s="2631"/>
      <c r="J51" s="2631"/>
      <c r="K51" s="2631"/>
      <c r="L51" s="2631"/>
      <c r="M51" s="2631"/>
      <c r="N51" s="1443"/>
      <c r="O51" s="1424"/>
    </row>
    <row r="52" spans="2:15" ht="7.5" customHeight="1" x14ac:dyDescent="0.25">
      <c r="B52" s="1423"/>
      <c r="C52" s="1208"/>
      <c r="D52" s="1209"/>
      <c r="E52" s="1209"/>
      <c r="F52" s="1208"/>
      <c r="G52" s="1208"/>
      <c r="H52" s="1208"/>
      <c r="I52" s="1208"/>
      <c r="J52" s="1208"/>
      <c r="K52" s="1208"/>
      <c r="L52" s="1208"/>
      <c r="M52" s="1208"/>
      <c r="N52" s="1208"/>
      <c r="O52" s="1424"/>
    </row>
    <row r="53" spans="2:15" x14ac:dyDescent="0.25">
      <c r="B53" s="1423"/>
      <c r="C53" s="1208"/>
      <c r="D53" s="1208"/>
      <c r="E53" s="821"/>
      <c r="F53" s="1449" t="s">
        <v>565</v>
      </c>
      <c r="G53" s="1208"/>
      <c r="H53" s="1208"/>
      <c r="I53" s="1208"/>
      <c r="J53" s="1208"/>
      <c r="K53" s="1208"/>
      <c r="L53" s="1208"/>
      <c r="M53" s="1208"/>
      <c r="N53" s="1208"/>
      <c r="O53" s="1424"/>
    </row>
    <row r="54" spans="2:15" x14ac:dyDescent="0.25">
      <c r="B54" s="1423"/>
      <c r="C54" s="1208"/>
      <c r="D54" s="1208"/>
      <c r="E54" s="1208"/>
      <c r="F54" s="1436" t="s">
        <v>566</v>
      </c>
      <c r="G54" s="1208"/>
      <c r="H54" s="1208"/>
      <c r="I54" s="1208"/>
      <c r="J54" s="2634"/>
      <c r="K54" s="2634"/>
      <c r="L54" s="2634"/>
      <c r="M54" s="2634"/>
      <c r="N54" s="1208"/>
      <c r="O54" s="1424"/>
    </row>
    <row r="55" spans="2:15" x14ac:dyDescent="0.25">
      <c r="B55" s="1423"/>
      <c r="C55" s="1208"/>
      <c r="D55" s="1208"/>
      <c r="E55" s="1208"/>
      <c r="F55" s="1436" t="s">
        <v>567</v>
      </c>
      <c r="G55" s="1208"/>
      <c r="H55" s="1208"/>
      <c r="I55" s="1450"/>
      <c r="J55" s="2635">
        <v>0</v>
      </c>
      <c r="K55" s="2635"/>
      <c r="L55" s="2635"/>
      <c r="M55" s="2635"/>
      <c r="N55" s="1208"/>
      <c r="O55" s="1424"/>
    </row>
    <row r="56" spans="2:15" x14ac:dyDescent="0.25">
      <c r="B56" s="1423"/>
      <c r="C56" s="1208"/>
      <c r="D56" s="1208"/>
      <c r="E56" s="1208"/>
      <c r="F56" s="1436" t="s">
        <v>1064</v>
      </c>
      <c r="G56" s="1208"/>
      <c r="H56" s="1451"/>
      <c r="I56" s="1450"/>
      <c r="J56" s="2636">
        <f>'6A - 4%'!K118</f>
        <v>23156305</v>
      </c>
      <c r="K56" s="2636"/>
      <c r="L56" s="2636"/>
      <c r="M56" s="2636"/>
      <c r="N56" s="1208"/>
      <c r="O56" s="1424"/>
    </row>
    <row r="57" spans="2:15" x14ac:dyDescent="0.25">
      <c r="B57" s="1423"/>
      <c r="C57" s="1208"/>
      <c r="D57" s="1208"/>
      <c r="E57" s="1208"/>
      <c r="F57" s="1436" t="s">
        <v>568</v>
      </c>
      <c r="G57" s="1208"/>
      <c r="H57" s="1451"/>
      <c r="I57" s="1450"/>
      <c r="J57" s="2638">
        <f>IFERROR(J55/J56,"0%")</f>
        <v>0</v>
      </c>
      <c r="K57" s="2638"/>
      <c r="L57" s="2638"/>
      <c r="M57" s="2638"/>
      <c r="N57" s="1208"/>
      <c r="O57" s="1424"/>
    </row>
    <row r="58" spans="2:15" x14ac:dyDescent="0.25">
      <c r="B58" s="1423"/>
      <c r="C58" s="1208"/>
      <c r="D58" s="1208"/>
      <c r="E58" s="1208"/>
      <c r="F58" s="1208"/>
      <c r="G58" s="1208"/>
      <c r="H58" s="1208"/>
      <c r="I58" s="1208"/>
      <c r="J58" s="1208"/>
      <c r="K58" s="1208"/>
      <c r="L58" s="1208"/>
      <c r="M58" s="1208"/>
      <c r="N58" s="1208"/>
      <c r="O58" s="1424"/>
    </row>
    <row r="59" spans="2:15" x14ac:dyDescent="0.25">
      <c r="B59" s="1423"/>
      <c r="C59" s="257">
        <v>6</v>
      </c>
      <c r="D59" s="1427" t="s">
        <v>672</v>
      </c>
      <c r="E59" s="1427"/>
      <c r="F59" s="1428"/>
      <c r="G59" s="1429"/>
      <c r="H59" s="1429"/>
      <c r="I59" s="1429"/>
      <c r="J59" s="1429"/>
      <c r="K59" s="1429"/>
      <c r="L59" s="1429"/>
      <c r="M59" s="1430"/>
      <c r="N59" s="1419">
        <v>2</v>
      </c>
      <c r="O59" s="1424"/>
    </row>
    <row r="60" spans="2:15" ht="3.75" customHeight="1" x14ac:dyDescent="0.25">
      <c r="B60" s="1423"/>
      <c r="C60" s="1208"/>
      <c r="D60" s="699"/>
      <c r="E60" s="699"/>
      <c r="F60" s="1209"/>
      <c r="G60" s="699"/>
      <c r="H60" s="699"/>
      <c r="I60" s="699"/>
      <c r="J60" s="699"/>
      <c r="K60" s="699"/>
      <c r="L60" s="699"/>
      <c r="M60" s="1437"/>
      <c r="N60" s="699"/>
      <c r="O60" s="1424"/>
    </row>
    <row r="61" spans="2:15" ht="30" customHeight="1" x14ac:dyDescent="0.25">
      <c r="B61" s="1423"/>
      <c r="C61" s="1208"/>
      <c r="D61" s="2631" t="s">
        <v>569</v>
      </c>
      <c r="E61" s="2631"/>
      <c r="F61" s="2631"/>
      <c r="G61" s="2631"/>
      <c r="H61" s="2631"/>
      <c r="I61" s="2631"/>
      <c r="J61" s="2631"/>
      <c r="K61" s="2631"/>
      <c r="L61" s="2631"/>
      <c r="M61" s="2631"/>
      <c r="N61" s="1443"/>
      <c r="O61" s="1424"/>
    </row>
    <row r="62" spans="2:15" ht="7.5" customHeight="1" x14ac:dyDescent="0.25">
      <c r="B62" s="1423"/>
      <c r="C62" s="1208"/>
      <c r="D62" s="1209"/>
      <c r="E62" s="1209"/>
      <c r="F62" s="1208"/>
      <c r="G62" s="1208"/>
      <c r="H62" s="1208"/>
      <c r="I62" s="1208"/>
      <c r="J62" s="1208"/>
      <c r="K62" s="1208"/>
      <c r="L62" s="1208"/>
      <c r="M62" s="1208"/>
      <c r="N62" s="1208"/>
      <c r="O62" s="1424"/>
    </row>
    <row r="63" spans="2:15" x14ac:dyDescent="0.25">
      <c r="B63" s="1423"/>
      <c r="C63" s="1208"/>
      <c r="D63" s="1208"/>
      <c r="E63" s="1208"/>
      <c r="F63" s="1436" t="s">
        <v>570</v>
      </c>
      <c r="G63" s="1208"/>
      <c r="H63" s="1208"/>
      <c r="I63" s="2634" t="s">
        <v>959</v>
      </c>
      <c r="J63" s="2634"/>
      <c r="K63" s="2634"/>
      <c r="L63" s="2634"/>
      <c r="M63" s="2634"/>
      <c r="N63" s="1208"/>
      <c r="O63" s="1424"/>
    </row>
    <row r="64" spans="2:15" x14ac:dyDescent="0.25">
      <c r="B64" s="1423"/>
      <c r="C64" s="1208"/>
      <c r="D64" s="1208"/>
      <c r="E64" s="1208"/>
      <c r="F64" s="1436" t="s">
        <v>571</v>
      </c>
      <c r="G64" s="1208"/>
      <c r="H64" s="1208"/>
      <c r="I64" s="1450"/>
      <c r="J64" s="1208"/>
      <c r="K64" s="1450"/>
      <c r="L64" s="1208"/>
      <c r="M64" s="1733">
        <v>2500000</v>
      </c>
      <c r="N64" s="1208"/>
      <c r="O64" s="1424"/>
    </row>
    <row r="65" spans="2:16" x14ac:dyDescent="0.25">
      <c r="B65" s="1423"/>
      <c r="C65" s="1436"/>
      <c r="D65" s="1436"/>
      <c r="E65" s="1436"/>
      <c r="F65" s="1436"/>
      <c r="G65" s="1436"/>
      <c r="H65" s="1436"/>
      <c r="I65" s="1450"/>
      <c r="J65" s="1436"/>
      <c r="K65" s="1450"/>
      <c r="L65" s="1452"/>
      <c r="M65" s="1436"/>
      <c r="N65" s="1436"/>
      <c r="O65" s="1424"/>
    </row>
    <row r="66" spans="2:16" x14ac:dyDescent="0.25">
      <c r="B66" s="1423"/>
      <c r="C66" s="257">
        <v>7</v>
      </c>
      <c r="D66" s="1427" t="s">
        <v>673</v>
      </c>
      <c r="E66" s="1427"/>
      <c r="F66" s="1428"/>
      <c r="G66" s="1429"/>
      <c r="H66" s="1429"/>
      <c r="I66" s="1429"/>
      <c r="J66" s="1429"/>
      <c r="K66" s="1429"/>
      <c r="L66" s="1429"/>
      <c r="M66" s="1430"/>
      <c r="N66" s="1419">
        <v>0</v>
      </c>
      <c r="O66" s="1424"/>
    </row>
    <row r="67" spans="2:16" ht="3.75" customHeight="1" x14ac:dyDescent="0.25">
      <c r="B67" s="1423"/>
      <c r="C67" s="1208"/>
      <c r="D67" s="699"/>
      <c r="E67" s="699"/>
      <c r="F67" s="1209"/>
      <c r="G67" s="699"/>
      <c r="H67" s="699"/>
      <c r="I67" s="699"/>
      <c r="J67" s="699"/>
      <c r="K67" s="699"/>
      <c r="L67" s="699"/>
      <c r="M67" s="1437"/>
      <c r="N67" s="699"/>
      <c r="O67" s="1424"/>
    </row>
    <row r="68" spans="2:16" x14ac:dyDescent="0.25">
      <c r="B68" s="1423"/>
      <c r="C68" s="1208"/>
      <c r="D68" s="2631" t="s">
        <v>572</v>
      </c>
      <c r="E68" s="2631"/>
      <c r="F68" s="2631"/>
      <c r="G68" s="2631"/>
      <c r="H68" s="2631"/>
      <c r="I68" s="2631"/>
      <c r="J68" s="2631"/>
      <c r="K68" s="2631"/>
      <c r="L68" s="2631"/>
      <c r="M68" s="2631"/>
      <c r="N68" s="1208"/>
      <c r="O68" s="1424"/>
    </row>
    <row r="69" spans="2:16" ht="7.5" customHeight="1" x14ac:dyDescent="0.25">
      <c r="B69" s="1423"/>
      <c r="C69" s="1208"/>
      <c r="D69" s="1209"/>
      <c r="E69" s="1209"/>
      <c r="F69" s="1208"/>
      <c r="G69" s="1208"/>
      <c r="H69" s="1208"/>
      <c r="I69" s="1208"/>
      <c r="J69" s="1208"/>
      <c r="K69" s="1208"/>
      <c r="L69" s="1208"/>
      <c r="M69" s="1208"/>
      <c r="N69" s="1208"/>
      <c r="O69" s="1424"/>
    </row>
    <row r="70" spans="2:16" x14ac:dyDescent="0.25">
      <c r="B70" s="1423"/>
      <c r="C70" s="1208"/>
      <c r="D70" s="1208"/>
      <c r="E70" s="1208"/>
      <c r="F70" s="1436" t="s">
        <v>573</v>
      </c>
      <c r="G70" s="1208"/>
      <c r="H70" s="1208"/>
      <c r="I70" s="1208"/>
      <c r="J70" s="2634" t="s">
        <v>574</v>
      </c>
      <c r="K70" s="2634"/>
      <c r="L70" s="2634"/>
      <c r="M70" s="2634"/>
      <c r="N70" s="1208"/>
      <c r="O70" s="1424"/>
    </row>
    <row r="71" spans="2:16" x14ac:dyDescent="0.25">
      <c r="B71" s="1423"/>
      <c r="C71" s="1436"/>
      <c r="D71" s="1436"/>
      <c r="E71" s="1436"/>
      <c r="F71" s="1436" t="s">
        <v>575</v>
      </c>
      <c r="G71" s="1436"/>
      <c r="H71" s="1436"/>
      <c r="I71" s="1450"/>
      <c r="J71" s="2633" t="s">
        <v>576</v>
      </c>
      <c r="K71" s="2633"/>
      <c r="L71" s="2633"/>
      <c r="M71" s="2633"/>
      <c r="N71" s="1436"/>
      <c r="O71" s="1424"/>
    </row>
    <row r="72" spans="2:16" ht="15.75" thickBot="1" x14ac:dyDescent="0.3">
      <c r="B72" s="1453"/>
      <c r="C72" s="1454"/>
      <c r="D72" s="1454"/>
      <c r="E72" s="1454"/>
      <c r="F72" s="1454"/>
      <c r="G72" s="1454"/>
      <c r="H72" s="1454"/>
      <c r="I72" s="1455"/>
      <c r="J72" s="1454"/>
      <c r="K72" s="1455"/>
      <c r="L72" s="1456"/>
      <c r="M72" s="1454"/>
      <c r="N72" s="1457"/>
      <c r="O72" s="1458"/>
    </row>
    <row r="73" spans="2:16" x14ac:dyDescent="0.25">
      <c r="B73" s="1420"/>
      <c r="C73" s="1421"/>
      <c r="D73" s="1421"/>
      <c r="E73" s="1421"/>
      <c r="F73" s="1421"/>
      <c r="G73" s="1421"/>
      <c r="H73" s="1421"/>
      <c r="I73" s="1421"/>
      <c r="J73" s="1421"/>
      <c r="K73" s="1421"/>
      <c r="L73" s="1421"/>
      <c r="M73" s="1421"/>
      <c r="N73" s="1421"/>
      <c r="O73" s="1422"/>
    </row>
    <row r="74" spans="2:16" ht="18.75" x14ac:dyDescent="0.3">
      <c r="B74" s="1423"/>
      <c r="C74" s="1649" t="s">
        <v>1070</v>
      </c>
      <c r="D74" s="1732"/>
      <c r="E74" s="1732"/>
      <c r="F74" s="1732"/>
      <c r="G74" s="1732"/>
      <c r="H74" s="1732"/>
      <c r="I74" s="1732"/>
      <c r="J74" s="1732"/>
      <c r="K74" s="1732"/>
      <c r="L74" s="1732"/>
      <c r="M74" s="1732"/>
      <c r="N74" s="1732"/>
      <c r="O74" s="1424"/>
    </row>
    <row r="75" spans="2:16" x14ac:dyDescent="0.25">
      <c r="B75" s="1423"/>
      <c r="C75" s="1153"/>
      <c r="D75" s="1153"/>
      <c r="E75" s="1153"/>
      <c r="F75" s="1153"/>
      <c r="G75" s="1153"/>
      <c r="H75" s="1153"/>
      <c r="I75" s="1153"/>
      <c r="J75" s="1153"/>
      <c r="K75" s="1153"/>
      <c r="L75" s="1153"/>
      <c r="M75" s="1153"/>
      <c r="N75" s="1153"/>
      <c r="O75" s="1424"/>
    </row>
    <row r="76" spans="2:16" x14ac:dyDescent="0.25">
      <c r="B76" s="1423"/>
      <c r="C76" s="821"/>
      <c r="D76" s="1311" t="s">
        <v>334</v>
      </c>
      <c r="E76" s="1123"/>
      <c r="F76" s="1123"/>
      <c r="G76" s="1122" t="str">
        <f>IF('1A'!G80="","Enter Project Name on Form 1A",'1A'!G80)</f>
        <v>Enter Project Name on Form 1A</v>
      </c>
      <c r="H76" s="1122"/>
      <c r="I76" s="1122"/>
      <c r="J76" s="1122"/>
      <c r="K76" s="1122"/>
      <c r="L76" s="1122"/>
      <c r="M76" s="1122"/>
      <c r="N76" s="1153"/>
      <c r="O76" s="1424"/>
    </row>
    <row r="77" spans="2:16" ht="30" customHeight="1" x14ac:dyDescent="0.25">
      <c r="B77" s="1423"/>
      <c r="C77" s="1208"/>
      <c r="D77" s="1208"/>
      <c r="E77" s="1208"/>
      <c r="F77" s="1208"/>
      <c r="G77" s="821"/>
      <c r="H77" s="1208"/>
      <c r="I77" s="1208"/>
      <c r="J77" s="1208"/>
      <c r="K77" s="1208"/>
      <c r="L77" s="1208"/>
      <c r="M77" s="1425"/>
      <c r="N77" s="1426" t="s">
        <v>552</v>
      </c>
      <c r="O77" s="1424"/>
      <c r="P77" s="400"/>
    </row>
    <row r="78" spans="2:16" x14ac:dyDescent="0.25">
      <c r="B78" s="1423"/>
      <c r="C78" s="257">
        <v>8</v>
      </c>
      <c r="D78" s="1427" t="s">
        <v>674</v>
      </c>
      <c r="E78" s="1427"/>
      <c r="F78" s="1428"/>
      <c r="G78" s="1429"/>
      <c r="H78" s="1429"/>
      <c r="I78" s="1429"/>
      <c r="J78" s="1429"/>
      <c r="K78" s="1429"/>
      <c r="L78" s="1429"/>
      <c r="M78" s="1430"/>
      <c r="N78" s="1419">
        <v>10</v>
      </c>
      <c r="O78" s="1424"/>
    </row>
    <row r="79" spans="2:16" ht="3.75" customHeight="1" x14ac:dyDescent="0.25">
      <c r="B79" s="1423"/>
      <c r="C79" s="1208"/>
      <c r="D79" s="699"/>
      <c r="E79" s="699"/>
      <c r="F79" s="1208"/>
      <c r="G79" s="699"/>
      <c r="H79" s="699"/>
      <c r="I79" s="699"/>
      <c r="J79" s="699"/>
      <c r="K79" s="699"/>
      <c r="L79" s="699"/>
      <c r="M79" s="1437"/>
      <c r="N79" s="699"/>
      <c r="O79" s="1424"/>
    </row>
    <row r="80" spans="2:16" x14ac:dyDescent="0.25">
      <c r="B80" s="1423"/>
      <c r="C80" s="1208"/>
      <c r="D80" s="2631" t="s">
        <v>577</v>
      </c>
      <c r="E80" s="2631"/>
      <c r="F80" s="2631"/>
      <c r="G80" s="2631"/>
      <c r="H80" s="2631"/>
      <c r="I80" s="2631"/>
      <c r="J80" s="2631"/>
      <c r="K80" s="2631"/>
      <c r="L80" s="2631"/>
      <c r="M80" s="2631"/>
      <c r="N80" s="1208"/>
      <c r="O80" s="1424"/>
    </row>
    <row r="81" spans="2:15" ht="7.5" customHeight="1" x14ac:dyDescent="0.25">
      <c r="B81" s="1423"/>
      <c r="C81" s="1208"/>
      <c r="D81" s="1209"/>
      <c r="E81" s="1209"/>
      <c r="F81" s="1208"/>
      <c r="G81" s="1208"/>
      <c r="H81" s="1208"/>
      <c r="I81" s="1208"/>
      <c r="J81" s="1208"/>
      <c r="K81" s="1208"/>
      <c r="L81" s="1208"/>
      <c r="M81" s="1208"/>
      <c r="N81" s="1208"/>
      <c r="O81" s="1424"/>
    </row>
    <row r="82" spans="2:15" x14ac:dyDescent="0.25">
      <c r="B82" s="1423"/>
      <c r="C82" s="1208"/>
      <c r="D82" s="1208"/>
      <c r="E82" s="1208"/>
      <c r="F82" s="2637" t="s">
        <v>967</v>
      </c>
      <c r="G82" s="2637"/>
      <c r="H82" s="1208"/>
      <c r="I82" s="1208"/>
      <c r="J82" s="1208"/>
      <c r="K82" s="1208"/>
      <c r="L82" s="1208"/>
      <c r="M82" s="1208"/>
      <c r="N82" s="1208"/>
      <c r="O82" s="1424"/>
    </row>
    <row r="83" spans="2:15" x14ac:dyDescent="0.25">
      <c r="B83" s="1423"/>
      <c r="C83" s="1208"/>
      <c r="D83" s="1208"/>
      <c r="E83" s="1208"/>
      <c r="F83" s="1208"/>
      <c r="G83" s="1208"/>
      <c r="H83" s="1208"/>
      <c r="I83" s="1208"/>
      <c r="J83" s="1208"/>
      <c r="K83" s="1208"/>
      <c r="L83" s="1208"/>
      <c r="M83" s="1208"/>
      <c r="N83" s="1208"/>
      <c r="O83" s="1424"/>
    </row>
    <row r="84" spans="2:15" x14ac:dyDescent="0.25">
      <c r="B84" s="1423"/>
      <c r="C84" s="257">
        <v>9</v>
      </c>
      <c r="D84" s="1427" t="s">
        <v>675</v>
      </c>
      <c r="E84" s="1427"/>
      <c r="F84" s="1428"/>
      <c r="G84" s="1429"/>
      <c r="H84" s="1429"/>
      <c r="I84" s="1429"/>
      <c r="J84" s="1429"/>
      <c r="K84" s="1429"/>
      <c r="L84" s="1429"/>
      <c r="M84" s="1430"/>
      <c r="N84" s="1419">
        <v>0</v>
      </c>
      <c r="O84" s="1424"/>
    </row>
    <row r="85" spans="2:15" ht="3.75" customHeight="1" x14ac:dyDescent="0.25">
      <c r="B85" s="1423"/>
      <c r="C85" s="1208"/>
      <c r="D85" s="1208"/>
      <c r="E85" s="1208"/>
      <c r="F85" s="1208"/>
      <c r="G85" s="1208"/>
      <c r="H85" s="1208"/>
      <c r="I85" s="1208"/>
      <c r="J85" s="1208"/>
      <c r="K85" s="1208"/>
      <c r="L85" s="1208"/>
      <c r="M85" s="1208"/>
      <c r="N85" s="1208"/>
      <c r="O85" s="1424"/>
    </row>
    <row r="86" spans="2:15" ht="30" customHeight="1" x14ac:dyDescent="0.25">
      <c r="B86" s="1423"/>
      <c r="C86" s="1208"/>
      <c r="D86" s="2631" t="s">
        <v>579</v>
      </c>
      <c r="E86" s="2631"/>
      <c r="F86" s="2631"/>
      <c r="G86" s="2631"/>
      <c r="H86" s="2631"/>
      <c r="I86" s="2631"/>
      <c r="J86" s="2631"/>
      <c r="K86" s="2631"/>
      <c r="L86" s="2631"/>
      <c r="M86" s="2631"/>
      <c r="N86" s="1443"/>
      <c r="O86" s="1424"/>
    </row>
    <row r="87" spans="2:15" ht="7.5" customHeight="1" x14ac:dyDescent="0.25">
      <c r="B87" s="1423"/>
      <c r="C87" s="1208"/>
      <c r="D87" s="1209"/>
      <c r="E87" s="1209"/>
      <c r="F87" s="1209"/>
      <c r="G87" s="1209"/>
      <c r="H87" s="1209"/>
      <c r="I87" s="1209"/>
      <c r="J87" s="1209"/>
      <c r="K87" s="1209"/>
      <c r="L87" s="1209"/>
      <c r="M87" s="1209"/>
      <c r="N87" s="1209"/>
      <c r="O87" s="1424"/>
    </row>
    <row r="88" spans="2:15" x14ac:dyDescent="0.25">
      <c r="B88" s="1423"/>
      <c r="C88" s="1208"/>
      <c r="D88" s="1208"/>
      <c r="E88" s="1449" t="s">
        <v>697</v>
      </c>
      <c r="F88" s="1208"/>
      <c r="G88" s="1208"/>
      <c r="H88" s="1208"/>
      <c r="I88" s="1208"/>
      <c r="J88" s="1208"/>
      <c r="K88" s="1208"/>
      <c r="L88" s="1208"/>
      <c r="M88" s="1208"/>
      <c r="N88" s="1208"/>
      <c r="O88" s="1424"/>
    </row>
    <row r="89" spans="2:15" x14ac:dyDescent="0.25">
      <c r="B89" s="1423"/>
      <c r="C89" s="1208"/>
      <c r="D89" s="1208"/>
      <c r="E89" s="1449"/>
      <c r="F89" s="1436" t="s">
        <v>580</v>
      </c>
      <c r="G89" s="1208"/>
      <c r="H89" s="1208"/>
      <c r="I89" s="1208"/>
      <c r="J89" s="2633" t="s">
        <v>581</v>
      </c>
      <c r="K89" s="2633"/>
      <c r="L89" s="2633"/>
      <c r="M89" s="2633"/>
      <c r="N89" s="1208"/>
      <c r="O89" s="1424"/>
    </row>
    <row r="90" spans="2:15" x14ac:dyDescent="0.25">
      <c r="B90" s="1423"/>
      <c r="C90" s="1208"/>
      <c r="D90" s="1208"/>
      <c r="E90" s="1208"/>
      <c r="F90" s="1436" t="s">
        <v>582</v>
      </c>
      <c r="G90" s="1208"/>
      <c r="H90" s="1208"/>
      <c r="I90" s="1450"/>
      <c r="J90" s="2633" t="s">
        <v>583</v>
      </c>
      <c r="K90" s="2633"/>
      <c r="L90" s="2633"/>
      <c r="M90" s="2633"/>
      <c r="N90" s="1208"/>
      <c r="O90" s="1424"/>
    </row>
    <row r="91" spans="2:15" x14ac:dyDescent="0.25">
      <c r="B91" s="1423"/>
      <c r="C91" s="1208"/>
      <c r="D91" s="1208"/>
      <c r="E91" s="1208"/>
      <c r="F91" s="1436" t="s">
        <v>584</v>
      </c>
      <c r="G91" s="1208"/>
      <c r="H91" s="1208"/>
      <c r="I91" s="1450"/>
      <c r="J91" s="2633" t="s">
        <v>585</v>
      </c>
      <c r="K91" s="2633"/>
      <c r="L91" s="2633"/>
      <c r="M91" s="2633"/>
      <c r="N91" s="1208"/>
      <c r="O91" s="1424"/>
    </row>
    <row r="92" spans="2:15" x14ac:dyDescent="0.25">
      <c r="B92" s="1423"/>
      <c r="C92" s="1208"/>
      <c r="D92" s="1208"/>
      <c r="E92" s="1208"/>
      <c r="F92" s="1436" t="s">
        <v>586</v>
      </c>
      <c r="G92" s="1208"/>
      <c r="H92" s="1208"/>
      <c r="I92" s="1450"/>
      <c r="J92" s="2633" t="s">
        <v>587</v>
      </c>
      <c r="K92" s="2633"/>
      <c r="L92" s="2633"/>
      <c r="M92" s="2633"/>
      <c r="N92" s="1208"/>
      <c r="O92" s="1424"/>
    </row>
    <row r="93" spans="2:15" x14ac:dyDescent="0.25">
      <c r="B93" s="1423"/>
      <c r="C93" s="1208"/>
      <c r="D93" s="1208"/>
      <c r="E93" s="1459"/>
      <c r="F93" s="1208"/>
      <c r="G93" s="1208"/>
      <c r="H93" s="1451"/>
      <c r="I93" s="1450"/>
      <c r="J93" s="1460"/>
      <c r="K93" s="1460"/>
      <c r="L93" s="1460"/>
      <c r="M93" s="1460"/>
      <c r="N93" s="1208"/>
      <c r="O93" s="1424"/>
    </row>
    <row r="94" spans="2:15" x14ac:dyDescent="0.25">
      <c r="B94" s="1423"/>
      <c r="C94" s="257">
        <v>10</v>
      </c>
      <c r="D94" s="1427" t="s">
        <v>676</v>
      </c>
      <c r="E94" s="1427"/>
      <c r="F94" s="1428"/>
      <c r="G94" s="1429"/>
      <c r="H94" s="1429"/>
      <c r="I94" s="1429"/>
      <c r="J94" s="1429"/>
      <c r="K94" s="1429"/>
      <c r="L94" s="1429"/>
      <c r="M94" s="1430"/>
      <c r="N94" s="1419">
        <v>0</v>
      </c>
      <c r="O94" s="1424"/>
    </row>
    <row r="95" spans="2:15" ht="3.75" customHeight="1" x14ac:dyDescent="0.25">
      <c r="B95" s="1423"/>
      <c r="C95" s="1208"/>
      <c r="D95" s="1208"/>
      <c r="E95" s="1208"/>
      <c r="F95" s="1208"/>
      <c r="G95" s="1208"/>
      <c r="H95" s="1208"/>
      <c r="I95" s="1208"/>
      <c r="J95" s="1208"/>
      <c r="K95" s="1208"/>
      <c r="L95" s="1208"/>
      <c r="M95" s="1208"/>
      <c r="N95" s="1208"/>
      <c r="O95" s="1424"/>
    </row>
    <row r="96" spans="2:15" ht="30" customHeight="1" x14ac:dyDescent="0.25">
      <c r="B96" s="1423"/>
      <c r="C96" s="1208"/>
      <c r="D96" s="2631" t="s">
        <v>677</v>
      </c>
      <c r="E96" s="2631"/>
      <c r="F96" s="2631"/>
      <c r="G96" s="2631"/>
      <c r="H96" s="2631"/>
      <c r="I96" s="2631"/>
      <c r="J96" s="2631"/>
      <c r="K96" s="2631"/>
      <c r="L96" s="2631"/>
      <c r="M96" s="2631"/>
      <c r="N96" s="1443"/>
      <c r="O96" s="1424"/>
    </row>
    <row r="97" spans="2:15" ht="7.5" customHeight="1" x14ac:dyDescent="0.25">
      <c r="B97" s="1423"/>
      <c r="C97" s="1208"/>
      <c r="D97" s="1209"/>
      <c r="E97" s="1208"/>
      <c r="F97" s="1208"/>
      <c r="G97" s="1208"/>
      <c r="H97" s="1208"/>
      <c r="I97" s="1208"/>
      <c r="J97" s="1208"/>
      <c r="K97" s="1208"/>
      <c r="L97" s="1208"/>
      <c r="M97" s="1208"/>
      <c r="N97" s="1208"/>
      <c r="O97" s="1424"/>
    </row>
    <row r="98" spans="2:15" x14ac:dyDescent="0.25">
      <c r="B98" s="1423"/>
      <c r="C98" s="1208"/>
      <c r="D98" s="1208"/>
      <c r="E98" s="1208"/>
      <c r="F98" s="2632"/>
      <c r="G98" s="2632"/>
      <c r="H98" s="2632"/>
      <c r="I98" s="2632"/>
      <c r="J98" s="2632"/>
      <c r="K98" s="2632"/>
      <c r="L98" s="2632"/>
      <c r="M98" s="2632"/>
      <c r="N98" s="1431"/>
      <c r="O98" s="1424"/>
    </row>
    <row r="99" spans="2:15" x14ac:dyDescent="0.25">
      <c r="B99" s="1423"/>
      <c r="C99" s="1208"/>
      <c r="D99" s="1208"/>
      <c r="E99" s="1208"/>
      <c r="F99" s="1208"/>
      <c r="G99" s="1208"/>
      <c r="H99" s="1208"/>
      <c r="I99" s="1208"/>
      <c r="J99" s="1208"/>
      <c r="K99" s="1208"/>
      <c r="L99" s="1208"/>
      <c r="M99" s="1208"/>
      <c r="N99" s="1208"/>
      <c r="O99" s="1424"/>
    </row>
    <row r="100" spans="2:15" x14ac:dyDescent="0.25">
      <c r="B100" s="1423"/>
      <c r="C100" s="257">
        <v>11</v>
      </c>
      <c r="D100" s="1427" t="s">
        <v>678</v>
      </c>
      <c r="E100" s="1427"/>
      <c r="F100" s="1428"/>
      <c r="G100" s="1429"/>
      <c r="H100" s="1429"/>
      <c r="I100" s="1429"/>
      <c r="J100" s="1429"/>
      <c r="K100" s="1429"/>
      <c r="L100" s="1429"/>
      <c r="M100" s="1430"/>
      <c r="N100" s="1419">
        <v>0</v>
      </c>
      <c r="O100" s="1424"/>
    </row>
    <row r="101" spans="2:15" ht="3.75" customHeight="1" x14ac:dyDescent="0.25">
      <c r="B101" s="1423"/>
      <c r="C101" s="1208"/>
      <c r="D101" s="699"/>
      <c r="E101" s="699"/>
      <c r="F101" s="1209"/>
      <c r="G101" s="699"/>
      <c r="H101" s="699"/>
      <c r="I101" s="699"/>
      <c r="J101" s="699"/>
      <c r="K101" s="699"/>
      <c r="L101" s="699"/>
      <c r="M101" s="1437"/>
      <c r="N101" s="699"/>
      <c r="O101" s="1424"/>
    </row>
    <row r="102" spans="2:15" ht="30" customHeight="1" x14ac:dyDescent="0.25">
      <c r="B102" s="1423"/>
      <c r="C102" s="1208"/>
      <c r="D102" s="2631" t="s">
        <v>588</v>
      </c>
      <c r="E102" s="2631"/>
      <c r="F102" s="2631"/>
      <c r="G102" s="2631"/>
      <c r="H102" s="2631"/>
      <c r="I102" s="2631"/>
      <c r="J102" s="2631"/>
      <c r="K102" s="2631"/>
      <c r="L102" s="2631"/>
      <c r="M102" s="2631"/>
      <c r="N102" s="1443"/>
      <c r="O102" s="1424"/>
    </row>
    <row r="103" spans="2:15" ht="7.5" customHeight="1" x14ac:dyDescent="0.25">
      <c r="B103" s="1423"/>
      <c r="C103" s="1208"/>
      <c r="D103" s="1443"/>
      <c r="E103" s="1443"/>
      <c r="F103" s="1443"/>
      <c r="G103" s="1443"/>
      <c r="H103" s="1443"/>
      <c r="I103" s="1443"/>
      <c r="J103" s="1443"/>
      <c r="K103" s="1443"/>
      <c r="L103" s="1443"/>
      <c r="M103" s="1443"/>
      <c r="N103" s="1443"/>
      <c r="O103" s="1424"/>
    </row>
    <row r="104" spans="2:15" x14ac:dyDescent="0.25">
      <c r="B104" s="1423"/>
      <c r="C104" s="1208"/>
      <c r="D104" s="1443"/>
      <c r="E104" s="1443"/>
      <c r="F104" s="1123" t="s">
        <v>589</v>
      </c>
      <c r="G104" s="1443"/>
      <c r="H104" s="2630"/>
      <c r="I104" s="2630"/>
      <c r="J104" s="2630"/>
      <c r="K104" s="1445"/>
      <c r="L104" s="1445"/>
      <c r="M104" s="1443"/>
      <c r="N104" s="1443"/>
      <c r="O104" s="1424"/>
    </row>
    <row r="105" spans="2:15" x14ac:dyDescent="0.25">
      <c r="B105" s="1423"/>
      <c r="C105" s="1208"/>
      <c r="D105" s="1459"/>
      <c r="E105" s="1459" t="s">
        <v>590</v>
      </c>
      <c r="F105" s="1208"/>
      <c r="G105" s="1208"/>
      <c r="H105" s="1208"/>
      <c r="I105" s="1208"/>
      <c r="J105" s="1208"/>
      <c r="K105" s="699"/>
      <c r="L105" s="1461"/>
      <c r="M105" s="1437"/>
      <c r="N105" s="699"/>
      <c r="O105" s="1424"/>
    </row>
    <row r="106" spans="2:15" x14ac:dyDescent="0.25">
      <c r="B106" s="1423"/>
      <c r="C106" s="1208"/>
      <c r="D106" s="699"/>
      <c r="E106" s="699"/>
      <c r="F106" s="1445"/>
      <c r="G106" s="1445"/>
      <c r="H106" s="1445"/>
      <c r="I106" s="1445"/>
      <c r="J106" s="1445"/>
      <c r="K106" s="699"/>
      <c r="L106" s="1461"/>
      <c r="M106" s="1437"/>
      <c r="N106" s="699"/>
      <c r="O106" s="1424"/>
    </row>
    <row r="107" spans="2:15" x14ac:dyDescent="0.25">
      <c r="B107" s="1423"/>
      <c r="C107" s="257">
        <v>12</v>
      </c>
      <c r="D107" s="1427" t="s">
        <v>698</v>
      </c>
      <c r="E107" s="1427"/>
      <c r="F107" s="1428"/>
      <c r="G107" s="1429"/>
      <c r="H107" s="1429"/>
      <c r="I107" s="1429"/>
      <c r="J107" s="1429"/>
      <c r="K107" s="1429"/>
      <c r="L107" s="1429"/>
      <c r="M107" s="1430"/>
      <c r="N107" s="1419">
        <v>2</v>
      </c>
      <c r="O107" s="1424"/>
    </row>
    <row r="108" spans="2:15" ht="3.75" customHeight="1" x14ac:dyDescent="0.25">
      <c r="B108" s="1423"/>
      <c r="C108" s="1208"/>
      <c r="D108" s="699"/>
      <c r="E108" s="699"/>
      <c r="F108" s="1209"/>
      <c r="G108" s="699"/>
      <c r="H108" s="699"/>
      <c r="I108" s="699"/>
      <c r="J108" s="699"/>
      <c r="K108" s="699"/>
      <c r="L108" s="699"/>
      <c r="M108" s="1437"/>
      <c r="N108" s="699"/>
      <c r="O108" s="1424"/>
    </row>
    <row r="109" spans="2:15" ht="30" customHeight="1" x14ac:dyDescent="0.25">
      <c r="B109" s="1423"/>
      <c r="C109" s="1208"/>
      <c r="D109" s="2631" t="s">
        <v>591</v>
      </c>
      <c r="E109" s="2631"/>
      <c r="F109" s="2631"/>
      <c r="G109" s="2631"/>
      <c r="H109" s="2631"/>
      <c r="I109" s="2631"/>
      <c r="J109" s="2631"/>
      <c r="K109" s="2631"/>
      <c r="L109" s="2631"/>
      <c r="M109" s="2631"/>
      <c r="N109" s="1443"/>
      <c r="O109" s="1424"/>
    </row>
    <row r="110" spans="2:15" ht="7.5" customHeight="1" x14ac:dyDescent="0.25">
      <c r="B110" s="1423"/>
      <c r="C110" s="1208"/>
      <c r="D110" s="1443"/>
      <c r="E110" s="1443"/>
      <c r="F110" s="1443"/>
      <c r="G110" s="1443"/>
      <c r="H110" s="1443"/>
      <c r="I110" s="1443"/>
      <c r="J110" s="1443"/>
      <c r="K110" s="1443"/>
      <c r="L110" s="1443"/>
      <c r="M110" s="1443"/>
      <c r="N110" s="1443"/>
      <c r="O110" s="1424"/>
    </row>
    <row r="111" spans="2:15" x14ac:dyDescent="0.25">
      <c r="B111" s="1423"/>
      <c r="C111" s="1208"/>
      <c r="D111" s="1443"/>
      <c r="E111" s="1443"/>
      <c r="F111" s="1123" t="s">
        <v>592</v>
      </c>
      <c r="G111" s="1443"/>
      <c r="H111" s="2630" t="s">
        <v>1538</v>
      </c>
      <c r="I111" s="2630"/>
      <c r="J111" s="2630"/>
      <c r="K111" s="2630"/>
      <c r="L111" s="2630"/>
      <c r="M111" s="2630"/>
      <c r="N111" s="1443"/>
      <c r="O111" s="1424"/>
    </row>
    <row r="112" spans="2:15" x14ac:dyDescent="0.25">
      <c r="B112" s="1423"/>
      <c r="C112" s="1208"/>
      <c r="D112" s="699"/>
      <c r="E112" s="699"/>
      <c r="F112" s="1445"/>
      <c r="G112" s="1445"/>
      <c r="H112" s="1445"/>
      <c r="I112" s="1445"/>
      <c r="J112" s="1445"/>
      <c r="K112" s="699"/>
      <c r="L112" s="1461"/>
      <c r="M112" s="1437"/>
      <c r="N112" s="699"/>
      <c r="O112" s="1424"/>
    </row>
    <row r="113" spans="2:15" x14ac:dyDescent="0.25">
      <c r="B113" s="1423"/>
      <c r="C113" s="257">
        <v>13</v>
      </c>
      <c r="D113" s="1427" t="s">
        <v>679</v>
      </c>
      <c r="E113" s="1427"/>
      <c r="F113" s="1428"/>
      <c r="G113" s="1429"/>
      <c r="H113" s="1429"/>
      <c r="I113" s="1429"/>
      <c r="J113" s="1429"/>
      <c r="K113" s="1429"/>
      <c r="L113" s="1429"/>
      <c r="M113" s="1430"/>
      <c r="N113" s="1419">
        <v>2</v>
      </c>
      <c r="O113" s="1424"/>
    </row>
    <row r="114" spans="2:15" ht="3.75" customHeight="1" x14ac:dyDescent="0.25">
      <c r="B114" s="1423"/>
      <c r="C114" s="1208"/>
      <c r="D114" s="699"/>
      <c r="E114" s="699"/>
      <c r="F114" s="1209"/>
      <c r="G114" s="699"/>
      <c r="H114" s="699"/>
      <c r="I114" s="699"/>
      <c r="J114" s="699"/>
      <c r="K114" s="699"/>
      <c r="L114" s="699"/>
      <c r="M114" s="1437"/>
      <c r="N114" s="699"/>
      <c r="O114" s="1424"/>
    </row>
    <row r="115" spans="2:15" ht="29.25" customHeight="1" x14ac:dyDescent="0.25">
      <c r="B115" s="1423"/>
      <c r="C115" s="1208"/>
      <c r="D115" s="2631" t="s">
        <v>680</v>
      </c>
      <c r="E115" s="2631"/>
      <c r="F115" s="2631"/>
      <c r="G115" s="2631"/>
      <c r="H115" s="2631"/>
      <c r="I115" s="2631"/>
      <c r="J115" s="2631"/>
      <c r="K115" s="2631"/>
      <c r="L115" s="2631"/>
      <c r="M115" s="2631"/>
      <c r="N115" s="1443"/>
      <c r="O115" s="1424"/>
    </row>
    <row r="116" spans="2:15" ht="7.5" customHeight="1" x14ac:dyDescent="0.25">
      <c r="B116" s="1423"/>
      <c r="C116" s="1208"/>
      <c r="D116" s="1443"/>
      <c r="E116" s="1443"/>
      <c r="F116" s="1443"/>
      <c r="G116" s="1443"/>
      <c r="H116" s="1443"/>
      <c r="I116" s="1443"/>
      <c r="J116" s="1443"/>
      <c r="K116" s="1443"/>
      <c r="L116" s="1443"/>
      <c r="M116" s="1443"/>
      <c r="N116" s="1443"/>
      <c r="O116" s="1424"/>
    </row>
    <row r="117" spans="2:15" x14ac:dyDescent="0.25">
      <c r="B117" s="1423"/>
      <c r="C117" s="1208"/>
      <c r="D117" s="1208"/>
      <c r="E117" s="1208"/>
      <c r="F117" s="1436" t="s">
        <v>593</v>
      </c>
      <c r="G117" s="1208"/>
      <c r="H117" s="2630" t="s">
        <v>925</v>
      </c>
      <c r="I117" s="2630"/>
      <c r="J117" s="2630"/>
      <c r="K117" s="2630"/>
      <c r="L117" s="2630"/>
      <c r="M117" s="2630"/>
      <c r="N117" s="1208"/>
      <c r="O117" s="1424"/>
    </row>
    <row r="118" spans="2:15" ht="15" customHeight="1" x14ac:dyDescent="0.25">
      <c r="B118" s="1423"/>
      <c r="C118" s="1436"/>
      <c r="D118" s="1443"/>
      <c r="E118" s="1443"/>
      <c r="F118" s="1443"/>
      <c r="G118" s="1443"/>
      <c r="H118" s="1443"/>
      <c r="I118" s="1443"/>
      <c r="J118" s="1443"/>
      <c r="K118" s="1443"/>
      <c r="L118" s="1443"/>
      <c r="M118" s="1443"/>
      <c r="N118" s="1443"/>
      <c r="O118" s="1424"/>
    </row>
    <row r="119" spans="2:15" x14ac:dyDescent="0.25">
      <c r="B119" s="1423"/>
      <c r="C119" s="257">
        <v>14</v>
      </c>
      <c r="D119" s="1427" t="s">
        <v>681</v>
      </c>
      <c r="E119" s="1427"/>
      <c r="F119" s="1428"/>
      <c r="G119" s="1429"/>
      <c r="H119" s="1429"/>
      <c r="I119" s="1429"/>
      <c r="J119" s="1429"/>
      <c r="K119" s="1429"/>
      <c r="L119" s="1429"/>
      <c r="M119" s="1430"/>
      <c r="N119" s="1419">
        <v>0</v>
      </c>
      <c r="O119" s="1424"/>
    </row>
    <row r="120" spans="2:15" ht="3.75" customHeight="1" x14ac:dyDescent="0.25">
      <c r="B120" s="1423"/>
      <c r="C120" s="1208"/>
      <c r="D120" s="699"/>
      <c r="E120" s="699"/>
      <c r="F120" s="1209"/>
      <c r="G120" s="699"/>
      <c r="H120" s="699"/>
      <c r="I120" s="699"/>
      <c r="J120" s="699"/>
      <c r="K120" s="699"/>
      <c r="L120" s="699"/>
      <c r="M120" s="1437"/>
      <c r="N120" s="699"/>
      <c r="O120" s="1424"/>
    </row>
    <row r="121" spans="2:15" ht="30" customHeight="1" x14ac:dyDescent="0.25">
      <c r="B121" s="1423"/>
      <c r="C121" s="1208"/>
      <c r="D121" s="2631" t="s">
        <v>682</v>
      </c>
      <c r="E121" s="2631"/>
      <c r="F121" s="2631"/>
      <c r="G121" s="2631"/>
      <c r="H121" s="2631"/>
      <c r="I121" s="2631"/>
      <c r="J121" s="2631"/>
      <c r="K121" s="2631"/>
      <c r="L121" s="2631"/>
      <c r="M121" s="2631"/>
      <c r="N121" s="1443"/>
      <c r="O121" s="1424"/>
    </row>
    <row r="122" spans="2:15" ht="7.5" customHeight="1" x14ac:dyDescent="0.25">
      <c r="B122" s="1423"/>
      <c r="C122" s="1208"/>
      <c r="D122" s="1443"/>
      <c r="E122" s="1443"/>
      <c r="F122" s="1443"/>
      <c r="G122" s="1443"/>
      <c r="H122" s="1443"/>
      <c r="I122" s="1443"/>
      <c r="J122" s="1443"/>
      <c r="K122" s="1443"/>
      <c r="L122" s="1443"/>
      <c r="M122" s="1443"/>
      <c r="N122" s="1443"/>
      <c r="O122" s="1424"/>
    </row>
    <row r="123" spans="2:15" x14ac:dyDescent="0.25">
      <c r="B123" s="1423"/>
      <c r="C123" s="1208"/>
      <c r="D123" s="1208"/>
      <c r="E123" s="1208"/>
      <c r="F123" s="1436" t="s">
        <v>593</v>
      </c>
      <c r="G123" s="1208"/>
      <c r="H123" s="2630" t="s">
        <v>594</v>
      </c>
      <c r="I123" s="2630"/>
      <c r="J123" s="2630"/>
      <c r="K123" s="2630"/>
      <c r="L123" s="2630"/>
      <c r="M123" s="2630"/>
      <c r="N123" s="1208"/>
      <c r="O123" s="1424"/>
    </row>
    <row r="124" spans="2:15" x14ac:dyDescent="0.25">
      <c r="B124" s="1423"/>
      <c r="C124" s="1436"/>
      <c r="D124" s="1436"/>
      <c r="E124" s="1436"/>
      <c r="F124" s="1436"/>
      <c r="G124" s="1436"/>
      <c r="H124" s="1445"/>
      <c r="I124" s="1445"/>
      <c r="J124" s="1445"/>
      <c r="K124" s="1445"/>
      <c r="L124" s="1445"/>
      <c r="M124" s="1445"/>
      <c r="N124" s="1436"/>
      <c r="O124" s="1424"/>
    </row>
    <row r="125" spans="2:15" x14ac:dyDescent="0.25">
      <c r="B125" s="1423"/>
      <c r="C125" s="257">
        <v>15</v>
      </c>
      <c r="D125" s="1427" t="s">
        <v>683</v>
      </c>
      <c r="E125" s="1427"/>
      <c r="F125" s="1428"/>
      <c r="G125" s="1429"/>
      <c r="H125" s="1429"/>
      <c r="I125" s="1429"/>
      <c r="J125" s="1429"/>
      <c r="K125" s="1429"/>
      <c r="L125" s="1429"/>
      <c r="M125" s="1430"/>
      <c r="N125" s="1419">
        <v>1</v>
      </c>
      <c r="O125" s="1424"/>
    </row>
    <row r="126" spans="2:15" ht="3.75" customHeight="1" x14ac:dyDescent="0.25">
      <c r="B126" s="1423"/>
      <c r="C126" s="1208"/>
      <c r="D126" s="699"/>
      <c r="E126" s="699"/>
      <c r="F126" s="1209"/>
      <c r="G126" s="699"/>
      <c r="H126" s="699"/>
      <c r="I126" s="699"/>
      <c r="J126" s="699"/>
      <c r="K126" s="699"/>
      <c r="L126" s="699"/>
      <c r="M126" s="1437"/>
      <c r="N126" s="699"/>
      <c r="O126" s="1424"/>
    </row>
    <row r="127" spans="2:15" ht="30" customHeight="1" x14ac:dyDescent="0.25">
      <c r="B127" s="1423"/>
      <c r="C127" s="1208"/>
      <c r="D127" s="2631" t="s">
        <v>684</v>
      </c>
      <c r="E127" s="2631"/>
      <c r="F127" s="2631"/>
      <c r="G127" s="2631"/>
      <c r="H127" s="2631"/>
      <c r="I127" s="2631"/>
      <c r="J127" s="2631"/>
      <c r="K127" s="2631"/>
      <c r="L127" s="2631"/>
      <c r="M127" s="2631"/>
      <c r="N127" s="1443"/>
      <c r="O127" s="1424"/>
    </row>
    <row r="128" spans="2:15" ht="7.5" customHeight="1" x14ac:dyDescent="0.25">
      <c r="B128" s="1423"/>
      <c r="C128" s="1208"/>
      <c r="D128" s="1443"/>
      <c r="E128" s="1443"/>
      <c r="F128" s="1443"/>
      <c r="G128" s="1443"/>
      <c r="H128" s="1443"/>
      <c r="I128" s="1443"/>
      <c r="J128" s="1443"/>
      <c r="K128" s="1443"/>
      <c r="L128" s="1443"/>
      <c r="M128" s="1443"/>
      <c r="N128" s="1443"/>
      <c r="O128" s="1424"/>
    </row>
    <row r="129" spans="2:16" x14ac:dyDescent="0.25">
      <c r="B129" s="1423"/>
      <c r="C129" s="1208"/>
      <c r="D129" s="1208"/>
      <c r="E129" s="1208"/>
      <c r="F129" s="1436" t="s">
        <v>593</v>
      </c>
      <c r="G129" s="1208"/>
      <c r="H129" s="2630" t="s">
        <v>995</v>
      </c>
      <c r="I129" s="2630"/>
      <c r="J129" s="2630"/>
      <c r="K129" s="2630"/>
      <c r="L129" s="2630"/>
      <c r="M129" s="2630"/>
      <c r="N129" s="1208"/>
      <c r="O129" s="1424"/>
    </row>
    <row r="130" spans="2:16" ht="15.75" thickBot="1" x14ac:dyDescent="0.3">
      <c r="B130" s="1453"/>
      <c r="C130" s="1454"/>
      <c r="D130" s="1462"/>
      <c r="E130" s="1462"/>
      <c r="F130" s="1462"/>
      <c r="G130" s="1462"/>
      <c r="H130" s="1462"/>
      <c r="I130" s="1462"/>
      <c r="J130" s="1462"/>
      <c r="K130" s="1462"/>
      <c r="L130" s="1462"/>
      <c r="M130" s="1462"/>
      <c r="N130" s="1463"/>
      <c r="O130" s="1458"/>
    </row>
    <row r="131" spans="2:16" x14ac:dyDescent="0.25">
      <c r="B131" s="1420"/>
      <c r="C131" s="1421"/>
      <c r="D131" s="1421"/>
      <c r="E131" s="1421"/>
      <c r="F131" s="1421"/>
      <c r="G131" s="1421"/>
      <c r="H131" s="1421"/>
      <c r="I131" s="1421"/>
      <c r="J131" s="1421"/>
      <c r="K131" s="1421"/>
      <c r="L131" s="1421"/>
      <c r="M131" s="1421"/>
      <c r="N131" s="1421"/>
      <c r="O131" s="1422"/>
    </row>
    <row r="132" spans="2:16" ht="18.75" x14ac:dyDescent="0.3">
      <c r="B132" s="1423"/>
      <c r="C132" s="2225" t="s">
        <v>1071</v>
      </c>
      <c r="D132" s="2225"/>
      <c r="E132" s="2225"/>
      <c r="F132" s="2225"/>
      <c r="G132" s="2225"/>
      <c r="H132" s="2225"/>
      <c r="I132" s="2225"/>
      <c r="J132" s="2225"/>
      <c r="K132" s="2225"/>
      <c r="L132" s="2225"/>
      <c r="M132" s="2225"/>
      <c r="N132" s="2225"/>
      <c r="O132" s="1424"/>
    </row>
    <row r="133" spans="2:16" x14ac:dyDescent="0.25">
      <c r="B133" s="1423"/>
      <c r="C133" s="1153"/>
      <c r="D133" s="1153"/>
      <c r="E133" s="1153"/>
      <c r="F133" s="1153"/>
      <c r="G133" s="1153"/>
      <c r="H133" s="1153"/>
      <c r="I133" s="1153"/>
      <c r="J133" s="1153"/>
      <c r="K133" s="1153"/>
      <c r="L133" s="1153"/>
      <c r="M133" s="1153"/>
      <c r="N133" s="1153"/>
      <c r="O133" s="1424"/>
    </row>
    <row r="134" spans="2:16" x14ac:dyDescent="0.25">
      <c r="B134" s="1423"/>
      <c r="C134" s="821"/>
      <c r="D134" s="1311" t="s">
        <v>334</v>
      </c>
      <c r="E134" s="1123"/>
      <c r="F134" s="1123"/>
      <c r="G134" s="1122" t="str">
        <f>IF('1A'!G138="","Enter Project Name on Form 1A",'1A'!G138)</f>
        <v>Enter Project Name on Form 1A</v>
      </c>
      <c r="H134" s="1122"/>
      <c r="I134" s="1122"/>
      <c r="J134" s="1122"/>
      <c r="K134" s="1122"/>
      <c r="L134" s="1122"/>
      <c r="M134" s="1122"/>
      <c r="N134" s="1153"/>
      <c r="O134" s="1424"/>
    </row>
    <row r="135" spans="2:16" ht="30" customHeight="1" x14ac:dyDescent="0.25">
      <c r="B135" s="1423"/>
      <c r="C135" s="1208"/>
      <c r="D135" s="1208"/>
      <c r="E135" s="1208"/>
      <c r="F135" s="1208"/>
      <c r="G135" s="821"/>
      <c r="H135" s="1208"/>
      <c r="I135" s="1208"/>
      <c r="J135" s="1208"/>
      <c r="K135" s="1208"/>
      <c r="L135" s="1208"/>
      <c r="M135" s="1425"/>
      <c r="N135" s="1426" t="s">
        <v>552</v>
      </c>
      <c r="O135" s="1424"/>
      <c r="P135" s="400"/>
    </row>
    <row r="136" spans="2:16" x14ac:dyDescent="0.25">
      <c r="B136" s="1423"/>
      <c r="C136" s="257">
        <v>16</v>
      </c>
      <c r="D136" s="1427" t="s">
        <v>685</v>
      </c>
      <c r="E136" s="1427"/>
      <c r="F136" s="1428"/>
      <c r="G136" s="1429"/>
      <c r="H136" s="1429"/>
      <c r="I136" s="1429"/>
      <c r="J136" s="1429"/>
      <c r="K136" s="1429"/>
      <c r="L136" s="1429"/>
      <c r="M136" s="1430"/>
      <c r="N136" s="1419">
        <v>1</v>
      </c>
      <c r="O136" s="1424"/>
    </row>
    <row r="137" spans="2:16" ht="3.75" customHeight="1" x14ac:dyDescent="0.25">
      <c r="B137" s="1423"/>
      <c r="C137" s="1208"/>
      <c r="D137" s="699"/>
      <c r="E137" s="699"/>
      <c r="F137" s="1209"/>
      <c r="G137" s="699"/>
      <c r="H137" s="699"/>
      <c r="I137" s="699"/>
      <c r="J137" s="699"/>
      <c r="K137" s="699"/>
      <c r="L137" s="699"/>
      <c r="M137" s="1437"/>
      <c r="N137" s="699"/>
      <c r="O137" s="1424"/>
    </row>
    <row r="138" spans="2:16" ht="30" customHeight="1" x14ac:dyDescent="0.25">
      <c r="B138" s="1423"/>
      <c r="C138" s="1208"/>
      <c r="D138" s="2631" t="s">
        <v>686</v>
      </c>
      <c r="E138" s="2631"/>
      <c r="F138" s="2631"/>
      <c r="G138" s="2631"/>
      <c r="H138" s="2631"/>
      <c r="I138" s="2631"/>
      <c r="J138" s="2631"/>
      <c r="K138" s="2631"/>
      <c r="L138" s="2631"/>
      <c r="M138" s="2631"/>
      <c r="N138" s="1443"/>
      <c r="O138" s="1424"/>
    </row>
    <row r="139" spans="2:16" ht="7.5" customHeight="1" x14ac:dyDescent="0.25">
      <c r="B139" s="1423"/>
      <c r="C139" s="1208"/>
      <c r="D139" s="1443"/>
      <c r="E139" s="1443"/>
      <c r="F139" s="1443"/>
      <c r="G139" s="1443"/>
      <c r="H139" s="1443"/>
      <c r="I139" s="1443"/>
      <c r="J139" s="1443"/>
      <c r="K139" s="1443"/>
      <c r="L139" s="1443"/>
      <c r="M139" s="1443"/>
      <c r="N139" s="1443"/>
      <c r="O139" s="1424"/>
    </row>
    <row r="140" spans="2:16" x14ac:dyDescent="0.25">
      <c r="B140" s="1423"/>
      <c r="C140" s="1208"/>
      <c r="D140" s="1208"/>
      <c r="E140" s="1208"/>
      <c r="F140" s="1436" t="s">
        <v>593</v>
      </c>
      <c r="G140" s="1208"/>
      <c r="H140" s="2630" t="s">
        <v>999</v>
      </c>
      <c r="I140" s="2630"/>
      <c r="J140" s="2630"/>
      <c r="K140" s="2630"/>
      <c r="L140" s="2630"/>
      <c r="M140" s="2630"/>
      <c r="N140" s="1208"/>
      <c r="O140" s="1424"/>
    </row>
    <row r="141" spans="2:16" x14ac:dyDescent="0.25">
      <c r="B141" s="1423"/>
      <c r="C141" s="1208"/>
      <c r="D141" s="1208"/>
      <c r="E141" s="1208"/>
      <c r="F141" s="1208"/>
      <c r="G141" s="1208"/>
      <c r="H141" s="1445"/>
      <c r="I141" s="1445"/>
      <c r="J141" s="1445"/>
      <c r="K141" s="1445"/>
      <c r="L141" s="1445"/>
      <c r="M141" s="1445"/>
      <c r="N141" s="1208"/>
      <c r="O141" s="1424"/>
    </row>
    <row r="142" spans="2:16" x14ac:dyDescent="0.25">
      <c r="B142" s="1423"/>
      <c r="C142" s="257">
        <v>17</v>
      </c>
      <c r="D142" s="1427" t="s">
        <v>687</v>
      </c>
      <c r="E142" s="1427"/>
      <c r="F142" s="1428"/>
      <c r="G142" s="1429"/>
      <c r="H142" s="1429"/>
      <c r="I142" s="1429"/>
      <c r="J142" s="1429"/>
      <c r="K142" s="1429"/>
      <c r="L142" s="1429"/>
      <c r="M142" s="1430"/>
      <c r="N142" s="1419">
        <v>0</v>
      </c>
      <c r="O142" s="1424"/>
    </row>
    <row r="143" spans="2:16" ht="3.75" customHeight="1" x14ac:dyDescent="0.25">
      <c r="B143" s="1423"/>
      <c r="C143" s="1208"/>
      <c r="D143" s="699"/>
      <c r="E143" s="699"/>
      <c r="F143" s="1209"/>
      <c r="G143" s="699"/>
      <c r="H143" s="699"/>
      <c r="I143" s="699"/>
      <c r="J143" s="699"/>
      <c r="K143" s="699"/>
      <c r="L143" s="699"/>
      <c r="M143" s="1437"/>
      <c r="N143" s="699"/>
      <c r="O143" s="1424"/>
    </row>
    <row r="144" spans="2:16" x14ac:dyDescent="0.25">
      <c r="B144" s="1423"/>
      <c r="C144" s="1208"/>
      <c r="D144" s="2631" t="s">
        <v>595</v>
      </c>
      <c r="E144" s="2631"/>
      <c r="F144" s="2631"/>
      <c r="G144" s="2631"/>
      <c r="H144" s="2631"/>
      <c r="I144" s="2631"/>
      <c r="J144" s="2631"/>
      <c r="K144" s="2631"/>
      <c r="L144" s="2631"/>
      <c r="M144" s="2631"/>
      <c r="N144" s="1209"/>
      <c r="O144" s="1424"/>
    </row>
    <row r="145" spans="2:15" ht="7.5" customHeight="1" x14ac:dyDescent="0.25">
      <c r="B145" s="1423"/>
      <c r="C145" s="1208"/>
      <c r="D145" s="1443"/>
      <c r="E145" s="1443"/>
      <c r="F145" s="1443"/>
      <c r="G145" s="1443"/>
      <c r="H145" s="1443"/>
      <c r="I145" s="1443"/>
      <c r="J145" s="1443"/>
      <c r="K145" s="1443"/>
      <c r="L145" s="1443"/>
      <c r="M145" s="1443"/>
      <c r="N145" s="1443"/>
      <c r="O145" s="1424"/>
    </row>
    <row r="146" spans="2:15" x14ac:dyDescent="0.25">
      <c r="B146" s="1423"/>
      <c r="C146" s="1208"/>
      <c r="D146" s="1443"/>
      <c r="E146" s="1443"/>
      <c r="F146" s="1123" t="s">
        <v>596</v>
      </c>
      <c r="G146" s="1443"/>
      <c r="H146" s="2641" t="s">
        <v>1005</v>
      </c>
      <c r="I146" s="2641"/>
      <c r="J146" s="2641"/>
      <c r="K146" s="1443"/>
      <c r="L146" s="2641" t="s">
        <v>598</v>
      </c>
      <c r="M146" s="2641"/>
      <c r="N146" s="1443"/>
      <c r="O146" s="1424"/>
    </row>
    <row r="147" spans="2:15" x14ac:dyDescent="0.25">
      <c r="B147" s="1423"/>
      <c r="C147" s="1208"/>
      <c r="D147" s="1208"/>
      <c r="E147" s="1208"/>
      <c r="F147" s="1208"/>
      <c r="G147" s="1208"/>
      <c r="H147" s="1445"/>
      <c r="I147" s="1445"/>
      <c r="J147" s="1445"/>
      <c r="K147" s="1445"/>
      <c r="L147" s="1445"/>
      <c r="M147" s="1445"/>
      <c r="N147" s="1208"/>
      <c r="O147" s="1424"/>
    </row>
    <row r="148" spans="2:15" x14ac:dyDescent="0.25">
      <c r="B148" s="1423"/>
      <c r="C148" s="257">
        <v>18</v>
      </c>
      <c r="D148" s="1427" t="s">
        <v>688</v>
      </c>
      <c r="E148" s="1427"/>
      <c r="F148" s="1428"/>
      <c r="G148" s="1429"/>
      <c r="H148" s="1429"/>
      <c r="I148" s="1429"/>
      <c r="J148" s="1429"/>
      <c r="K148" s="1429"/>
      <c r="L148" s="1429"/>
      <c r="M148" s="1430"/>
      <c r="N148" s="1419">
        <v>5</v>
      </c>
      <c r="O148" s="1424"/>
    </row>
    <row r="149" spans="2:15" ht="3.75" customHeight="1" x14ac:dyDescent="0.25">
      <c r="B149" s="1423"/>
      <c r="C149" s="1208"/>
      <c r="D149" s="699"/>
      <c r="E149" s="699"/>
      <c r="F149" s="1209"/>
      <c r="G149" s="699"/>
      <c r="H149" s="699"/>
      <c r="I149" s="699"/>
      <c r="J149" s="699"/>
      <c r="K149" s="699"/>
      <c r="L149" s="699"/>
      <c r="M149" s="1437"/>
      <c r="N149" s="699"/>
      <c r="O149" s="1424"/>
    </row>
    <row r="150" spans="2:15" ht="30" customHeight="1" x14ac:dyDescent="0.25">
      <c r="B150" s="1423"/>
      <c r="C150" s="1208"/>
      <c r="D150" s="2631" t="s">
        <v>599</v>
      </c>
      <c r="E150" s="2631"/>
      <c r="F150" s="2631"/>
      <c r="G150" s="2631"/>
      <c r="H150" s="2631"/>
      <c r="I150" s="2631"/>
      <c r="J150" s="2631"/>
      <c r="K150" s="2631"/>
      <c r="L150" s="2631"/>
      <c r="M150" s="2631"/>
      <c r="N150" s="1443"/>
      <c r="O150" s="1424"/>
    </row>
    <row r="151" spans="2:15" ht="7.5" customHeight="1" x14ac:dyDescent="0.25">
      <c r="B151" s="1423"/>
      <c r="C151" s="1208"/>
      <c r="D151" s="1443"/>
      <c r="E151" s="1443"/>
      <c r="F151" s="1443"/>
      <c r="G151" s="1443"/>
      <c r="H151" s="1443"/>
      <c r="I151" s="1443"/>
      <c r="J151" s="1443"/>
      <c r="K151" s="1443"/>
      <c r="L151" s="1443"/>
      <c r="M151" s="1443"/>
      <c r="N151" s="1443"/>
      <c r="O151" s="1424"/>
    </row>
    <row r="152" spans="2:15" x14ac:dyDescent="0.25">
      <c r="B152" s="1423"/>
      <c r="C152" s="1208"/>
      <c r="D152" s="699"/>
      <c r="E152" s="699"/>
      <c r="F152" s="2630" t="s">
        <v>1054</v>
      </c>
      <c r="G152" s="2630"/>
      <c r="H152" s="2630"/>
      <c r="I152" s="2630"/>
      <c r="J152" s="2630"/>
      <c r="K152" s="699"/>
      <c r="L152" s="1461"/>
      <c r="M152" s="1437"/>
      <c r="N152" s="699"/>
      <c r="O152" s="1424"/>
    </row>
    <row r="153" spans="2:15" x14ac:dyDescent="0.25">
      <c r="B153" s="1423"/>
      <c r="C153" s="1208"/>
      <c r="D153" s="699"/>
      <c r="E153" s="699"/>
      <c r="F153" s="1445"/>
      <c r="G153" s="1445"/>
      <c r="H153" s="1445"/>
      <c r="I153" s="1445"/>
      <c r="J153" s="1445"/>
      <c r="K153" s="699"/>
      <c r="L153" s="1461"/>
      <c r="M153" s="1437"/>
      <c r="N153" s="699"/>
      <c r="O153" s="1424"/>
    </row>
    <row r="154" spans="2:15" x14ac:dyDescent="0.25">
      <c r="B154" s="1423"/>
      <c r="C154" s="257">
        <v>19</v>
      </c>
      <c r="D154" s="1427" t="s">
        <v>689</v>
      </c>
      <c r="E154" s="1427"/>
      <c r="F154" s="1428"/>
      <c r="G154" s="1429"/>
      <c r="H154" s="1429"/>
      <c r="I154" s="1429"/>
      <c r="J154" s="1429"/>
      <c r="K154" s="1429"/>
      <c r="L154" s="1429"/>
      <c r="M154" s="1430"/>
      <c r="N154" s="1419">
        <v>5</v>
      </c>
      <c r="O154" s="1424"/>
    </row>
    <row r="155" spans="2:15" ht="7.5" customHeight="1" x14ac:dyDescent="0.25">
      <c r="B155" s="1423"/>
      <c r="C155" s="1208"/>
      <c r="D155" s="699"/>
      <c r="E155" s="699"/>
      <c r="F155" s="1209"/>
      <c r="G155" s="699"/>
      <c r="H155" s="699"/>
      <c r="I155" s="699"/>
      <c r="J155" s="699"/>
      <c r="K155" s="699"/>
      <c r="L155" s="699"/>
      <c r="M155" s="1437"/>
      <c r="N155" s="699"/>
      <c r="O155" s="1424"/>
    </row>
    <row r="156" spans="2:15" ht="30" customHeight="1" x14ac:dyDescent="0.25">
      <c r="B156" s="1423"/>
      <c r="C156" s="1208"/>
      <c r="D156" s="2631" t="s">
        <v>600</v>
      </c>
      <c r="E156" s="2631"/>
      <c r="F156" s="2631"/>
      <c r="G156" s="2631"/>
      <c r="H156" s="2631"/>
      <c r="I156" s="2631"/>
      <c r="J156" s="2631"/>
      <c r="K156" s="2631"/>
      <c r="L156" s="2631"/>
      <c r="M156" s="2631"/>
      <c r="N156" s="1443"/>
      <c r="O156" s="1424"/>
    </row>
    <row r="157" spans="2:15" x14ac:dyDescent="0.25">
      <c r="B157" s="1423"/>
      <c r="C157" s="1208"/>
      <c r="D157" s="1208"/>
      <c r="E157" s="1208"/>
      <c r="F157" s="1208"/>
      <c r="G157" s="1208"/>
      <c r="H157" s="1208"/>
      <c r="I157" s="1208"/>
      <c r="J157" s="1208"/>
      <c r="K157" s="1208"/>
      <c r="L157" s="1208"/>
      <c r="M157" s="1208"/>
      <c r="N157" s="1208"/>
      <c r="O157" s="1424"/>
    </row>
    <row r="158" spans="2:15" x14ac:dyDescent="0.25">
      <c r="B158" s="1423"/>
      <c r="C158" s="257">
        <v>20</v>
      </c>
      <c r="D158" s="1427" t="s">
        <v>690</v>
      </c>
      <c r="E158" s="1427"/>
      <c r="F158" s="1428"/>
      <c r="G158" s="1429"/>
      <c r="H158" s="1429"/>
      <c r="I158" s="1429"/>
      <c r="J158" s="1429"/>
      <c r="K158" s="1429"/>
      <c r="L158" s="1429"/>
      <c r="M158" s="1430"/>
      <c r="N158" s="1419">
        <v>0</v>
      </c>
      <c r="O158" s="1424"/>
    </row>
    <row r="159" spans="2:15" ht="7.5" customHeight="1" x14ac:dyDescent="0.25">
      <c r="B159" s="1423"/>
      <c r="C159" s="1208"/>
      <c r="D159" s="699"/>
      <c r="E159" s="699"/>
      <c r="F159" s="1209"/>
      <c r="G159" s="699"/>
      <c r="H159" s="699"/>
      <c r="I159" s="699"/>
      <c r="J159" s="699"/>
      <c r="K159" s="699"/>
      <c r="L159" s="699"/>
      <c r="M159" s="1437"/>
      <c r="N159" s="699"/>
      <c r="O159" s="1424"/>
    </row>
    <row r="160" spans="2:15" ht="30" customHeight="1" x14ac:dyDescent="0.25">
      <c r="B160" s="1423"/>
      <c r="C160" s="1208"/>
      <c r="D160" s="2631" t="s">
        <v>601</v>
      </c>
      <c r="E160" s="2631"/>
      <c r="F160" s="2631"/>
      <c r="G160" s="2631"/>
      <c r="H160" s="2631"/>
      <c r="I160" s="2631"/>
      <c r="J160" s="2631"/>
      <c r="K160" s="2631"/>
      <c r="L160" s="2631"/>
      <c r="M160" s="2631"/>
      <c r="N160" s="1443"/>
      <c r="O160" s="1424"/>
    </row>
    <row r="161" spans="2:15" ht="15.75" thickBot="1" x14ac:dyDescent="0.3">
      <c r="B161" s="1423"/>
      <c r="C161" s="1208"/>
      <c r="D161" s="1208"/>
      <c r="E161" s="1208"/>
      <c r="F161" s="1464"/>
      <c r="G161" s="1464"/>
      <c r="H161" s="1208"/>
      <c r="I161" s="1208"/>
      <c r="J161" s="1208"/>
      <c r="K161" s="1208"/>
      <c r="L161" s="1208"/>
      <c r="M161" s="1208"/>
      <c r="N161" s="1208"/>
      <c r="O161" s="1424"/>
    </row>
    <row r="162" spans="2:15" ht="17.25" thickTop="1" thickBot="1" x14ac:dyDescent="0.3">
      <c r="B162" s="1423"/>
      <c r="C162" s="1208"/>
      <c r="D162" s="1465" t="s">
        <v>602</v>
      </c>
      <c r="E162" s="1466"/>
      <c r="F162" s="1467"/>
      <c r="G162" s="1466"/>
      <c r="H162" s="1466"/>
      <c r="I162" s="1466"/>
      <c r="J162" s="1466"/>
      <c r="K162" s="1466"/>
      <c r="L162" s="1466"/>
      <c r="M162" s="1468"/>
      <c r="N162" s="1469">
        <f>N18+N27+N33+N45+N49+N59+N66+N78+N84+N94+N100+N107+N113+N119+N125+N136+N142+N148+N154+N158</f>
        <v>157</v>
      </c>
      <c r="O162" s="1424"/>
    </row>
    <row r="163" spans="2:15" ht="15.75" thickBot="1" x14ac:dyDescent="0.3">
      <c r="B163" s="1453"/>
      <c r="C163" s="1454"/>
      <c r="D163" s="1454"/>
      <c r="E163" s="1454"/>
      <c r="F163" s="1454"/>
      <c r="G163" s="1454"/>
      <c r="H163" s="1454"/>
      <c r="I163" s="1454"/>
      <c r="J163" s="1454"/>
      <c r="K163" s="1454"/>
      <c r="L163" s="1454"/>
      <c r="M163" s="1454"/>
      <c r="N163" s="1454"/>
      <c r="O163" s="1458"/>
    </row>
  </sheetData>
  <sheetProtection password="9F6B" sheet="1" objects="1" scenarios="1" formatCells="0" formatColumns="0" formatRows="0"/>
  <mergeCells count="52">
    <mergeCell ref="D20:M20"/>
    <mergeCell ref="D150:M150"/>
    <mergeCell ref="D144:M144"/>
    <mergeCell ref="D138:M138"/>
    <mergeCell ref="D127:M127"/>
    <mergeCell ref="D121:M121"/>
    <mergeCell ref="H146:J146"/>
    <mergeCell ref="L146:M146"/>
    <mergeCell ref="D115:M115"/>
    <mergeCell ref="D109:M109"/>
    <mergeCell ref="D102:M102"/>
    <mergeCell ref="D96:M96"/>
    <mergeCell ref="D86:M86"/>
    <mergeCell ref="D80:M80"/>
    <mergeCell ref="D68:M68"/>
    <mergeCell ref="D61:M61"/>
    <mergeCell ref="I21:M21"/>
    <mergeCell ref="I22:M22"/>
    <mergeCell ref="I24:M24"/>
    <mergeCell ref="I25:M25"/>
    <mergeCell ref="D51:M51"/>
    <mergeCell ref="D47:M47"/>
    <mergeCell ref="D35:M35"/>
    <mergeCell ref="D29:M29"/>
    <mergeCell ref="J57:M57"/>
    <mergeCell ref="I63:M63"/>
    <mergeCell ref="J70:M70"/>
    <mergeCell ref="J71:M71"/>
    <mergeCell ref="J90:M90"/>
    <mergeCell ref="F98:M98"/>
    <mergeCell ref="F82:G82"/>
    <mergeCell ref="H123:M123"/>
    <mergeCell ref="H129:M129"/>
    <mergeCell ref="H140:M140"/>
    <mergeCell ref="J91:M91"/>
    <mergeCell ref="J92:M92"/>
    <mergeCell ref="C14:N14"/>
    <mergeCell ref="C132:N132"/>
    <mergeCell ref="F152:J152"/>
    <mergeCell ref="D160:M160"/>
    <mergeCell ref="D156:M156"/>
    <mergeCell ref="F31:G31"/>
    <mergeCell ref="F38:M38"/>
    <mergeCell ref="F41:M41"/>
    <mergeCell ref="F43:M43"/>
    <mergeCell ref="J89:M89"/>
    <mergeCell ref="J54:M54"/>
    <mergeCell ref="J55:M55"/>
    <mergeCell ref="J56:M56"/>
    <mergeCell ref="H104:J104"/>
    <mergeCell ref="H111:M111"/>
    <mergeCell ref="H117:M117"/>
  </mergeCells>
  <dataValidations count="19">
    <dataValidation type="list" allowBlank="1" showInputMessage="1" showErrorMessage="1" sqref="I21:M21">
      <formula1>lower_income</formula1>
    </dataValidation>
    <dataValidation type="list" allowBlank="1" showInputMessage="1" showErrorMessage="1" sqref="I22:M22">
      <formula1>Inc_Lower</formula1>
    </dataValidation>
    <dataValidation type="list" allowBlank="1" showInputMessage="1" showErrorMessage="1" sqref="I24:M24">
      <formula1>higher_income</formula1>
    </dataValidation>
    <dataValidation type="list" allowBlank="1" showInputMessage="1" showErrorMessage="1" sqref="I25:M25">
      <formula1>Inc_Higher</formula1>
    </dataValidation>
    <dataValidation type="list" allowBlank="1" showInputMessage="1" showErrorMessage="1" sqref="F31:G31">
      <formula1>Years</formula1>
    </dataValidation>
    <dataValidation type="list" allowBlank="1" showInputMessage="1" showErrorMessage="1" sqref="F38:M38">
      <formula1>Homeless75</formula1>
    </dataValidation>
    <dataValidation type="list" allowBlank="1" showInputMessage="1" showErrorMessage="1" sqref="F41:M41 F43:M43">
      <formula1>SpecNeeds20</formula1>
    </dataValidation>
    <dataValidation type="list" allowBlank="1" showInputMessage="1" showErrorMessage="1" sqref="J54:M54">
      <formula1>federal_funding_sources</formula1>
    </dataValidation>
    <dataValidation type="list" allowBlank="1" showInputMessage="1" showErrorMessage="1" sqref="I63:M63">
      <formula1>KC_HTF</formula1>
    </dataValidation>
    <dataValidation type="list" allowBlank="1" showInputMessage="1" showErrorMessage="1" sqref="F82:G82">
      <formula1>DevFees</formula1>
    </dataValidation>
    <dataValidation type="list" allowBlank="1" showInputMessage="1" showErrorMessage="1" sqref="F98:M98">
      <formula1>Historic</formula1>
    </dataValidation>
    <dataValidation type="list" allowBlank="1" showInputMessage="1" showErrorMessage="1" sqref="H104:J104">
      <formula1>eligible_tribes</formula1>
    </dataValidation>
    <dataValidation type="list" allowBlank="1" showInputMessage="1" showErrorMessage="1" sqref="H111:M111">
      <formula1>Location_eff</formula1>
    </dataValidation>
    <dataValidation type="list" allowBlank="1" showInputMessage="1" showErrorMessage="1" sqref="H117:M117 H123:M123">
      <formula1>local_funding_counties</formula1>
    </dataValidation>
    <dataValidation type="list" allowBlank="1" showInputMessage="1" showErrorMessage="1" sqref="H129:M129">
      <formula1>KC_only</formula1>
    </dataValidation>
    <dataValidation type="list" allowBlank="1" showInputMessage="1" showErrorMessage="1" sqref="H140:M140">
      <formula1>KC_OppArea</formula1>
    </dataValidation>
    <dataValidation type="list" allowBlank="1" showInputMessage="1" showErrorMessage="1" sqref="H146:J146">
      <formula1>in_within</formula1>
    </dataValidation>
    <dataValidation type="list" allowBlank="1" showInputMessage="1" showErrorMessage="1" sqref="L146:M146">
      <formula1>job_centers</formula1>
    </dataValidation>
    <dataValidation type="list" allowBlank="1" showInputMessage="1" showErrorMessage="1" sqref="F152:J152">
      <formula1>NP_Sponsor</formula1>
    </dataValidation>
  </dataValidations>
  <pageMargins left="0.7" right="0.7" top="0.75" bottom="0.75" header="0.3" footer="0.3"/>
  <pageSetup scale="81" fitToHeight="3" orientation="portrait" r:id="rId1"/>
  <headerFooter>
    <oddFooter>&amp;LForm 11A
9% LIHTC Scoring Synopsis&amp;CCFA Forms&amp;REdition: 2015
Version: 1.1</oddFooter>
  </headerFooter>
  <rowBreaks count="2" manualBreakCount="2">
    <brk id="72" min="1" max="14" man="1"/>
    <brk id="130" min="1" max="14"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O154"/>
  <sheetViews>
    <sheetView showGridLines="0" zoomScaleNormal="100" workbookViewId="0">
      <selection activeCell="S111" sqref="S111"/>
    </sheetView>
  </sheetViews>
  <sheetFormatPr defaultRowHeight="15" x14ac:dyDescent="0.25"/>
  <cols>
    <col min="1" max="2" width="1.7109375" style="839" customWidth="1"/>
    <col min="3" max="5" width="2.85546875" style="839" customWidth="1"/>
    <col min="6" max="6" width="11.42578125" style="839" customWidth="1"/>
    <col min="7" max="7" width="8.5703125" style="839" customWidth="1"/>
    <col min="8" max="8" width="11.42578125" style="839" customWidth="1"/>
    <col min="9" max="9" width="12.85546875" style="839" customWidth="1"/>
    <col min="10" max="10" width="10" style="839" customWidth="1"/>
    <col min="11" max="11" width="7.140625" style="839" customWidth="1"/>
    <col min="12" max="12" width="15.7109375" style="839" customWidth="1"/>
    <col min="13" max="13" width="11.42578125" style="839" customWidth="1"/>
    <col min="14" max="14" width="8.5703125" style="839" customWidth="1"/>
    <col min="15" max="16" width="1.7109375" style="839" customWidth="1"/>
    <col min="17" max="16384" width="9.140625" style="839"/>
  </cols>
  <sheetData>
    <row r="12" spans="2:15" ht="15.75" thickBot="1" x14ac:dyDescent="0.3"/>
    <row r="13" spans="2:15" ht="9" customHeight="1" x14ac:dyDescent="0.25">
      <c r="B13" s="1420"/>
      <c r="C13" s="1421"/>
      <c r="D13" s="1421"/>
      <c r="E13" s="1421"/>
      <c r="F13" s="1421"/>
      <c r="G13" s="1421"/>
      <c r="H13" s="1421"/>
      <c r="I13" s="1421"/>
      <c r="J13" s="1421"/>
      <c r="K13" s="1421"/>
      <c r="L13" s="1421"/>
      <c r="M13" s="1421"/>
      <c r="N13" s="1421"/>
      <c r="O13" s="1422"/>
    </row>
    <row r="14" spans="2:15" ht="18.75" x14ac:dyDescent="0.3">
      <c r="B14" s="1423"/>
      <c r="C14" s="1649" t="s">
        <v>1344</v>
      </c>
      <c r="D14" s="1732"/>
      <c r="E14" s="1732"/>
      <c r="F14" s="1732"/>
      <c r="G14" s="1732"/>
      <c r="H14" s="1732"/>
      <c r="I14" s="1732"/>
      <c r="J14" s="1732"/>
      <c r="K14" s="1732"/>
      <c r="L14" s="1732"/>
      <c r="M14" s="1732"/>
      <c r="N14" s="1153"/>
      <c r="O14" s="1424"/>
    </row>
    <row r="15" spans="2:15" x14ac:dyDescent="0.25">
      <c r="B15" s="1423"/>
      <c r="C15" s="1470"/>
      <c r="D15" s="1470"/>
      <c r="E15" s="1470"/>
      <c r="F15" s="1470"/>
      <c r="G15" s="1470"/>
      <c r="H15" s="1470"/>
      <c r="I15" s="1470"/>
      <c r="J15" s="1470"/>
      <c r="K15" s="1470"/>
      <c r="L15" s="1470"/>
      <c r="M15" s="1470"/>
      <c r="N15" s="1470"/>
      <c r="O15" s="1424"/>
    </row>
    <row r="16" spans="2:15" x14ac:dyDescent="0.25">
      <c r="B16" s="1423"/>
      <c r="C16" s="821"/>
      <c r="D16" s="1436" t="s">
        <v>1</v>
      </c>
      <c r="E16" s="1123"/>
      <c r="F16" s="1123"/>
      <c r="G16" s="1122" t="str">
        <f>IF('1A'!G5="","Enter Project Name on Form 1A",'1A'!G5)</f>
        <v>University District Apartments</v>
      </c>
      <c r="H16" s="1122"/>
      <c r="I16" s="1122"/>
      <c r="J16" s="1122"/>
      <c r="K16" s="1122"/>
      <c r="L16" s="1122"/>
      <c r="M16" s="1122"/>
      <c r="N16" s="1123"/>
      <c r="O16" s="1424"/>
    </row>
    <row r="17" spans="2:15" ht="30" customHeight="1" x14ac:dyDescent="0.25">
      <c r="B17" s="1423"/>
      <c r="C17" s="1436"/>
      <c r="D17" s="1436"/>
      <c r="E17" s="1436"/>
      <c r="F17" s="1436"/>
      <c r="G17" s="1436"/>
      <c r="H17" s="1436"/>
      <c r="I17" s="1436"/>
      <c r="J17" s="1436"/>
      <c r="K17" s="1436"/>
      <c r="L17" s="1436"/>
      <c r="M17" s="1425"/>
      <c r="N17" s="1426" t="s">
        <v>552</v>
      </c>
      <c r="O17" s="1424"/>
    </row>
    <row r="18" spans="2:15" x14ac:dyDescent="0.25">
      <c r="B18" s="1423"/>
      <c r="C18" s="257">
        <v>1</v>
      </c>
      <c r="D18" s="1427" t="s">
        <v>701</v>
      </c>
      <c r="E18" s="1427"/>
      <c r="F18" s="1428"/>
      <c r="G18" s="1429"/>
      <c r="H18" s="1429"/>
      <c r="I18" s="1429"/>
      <c r="J18" s="1429"/>
      <c r="K18" s="1429"/>
      <c r="L18" s="1429"/>
      <c r="M18" s="1430"/>
      <c r="N18" s="1417">
        <v>0</v>
      </c>
      <c r="O18" s="1424"/>
    </row>
    <row r="19" spans="2:15" ht="3.75" customHeight="1" x14ac:dyDescent="0.25">
      <c r="B19" s="1423"/>
      <c r="C19" s="1208"/>
      <c r="D19" s="699"/>
      <c r="E19" s="699"/>
      <c r="F19" s="1209"/>
      <c r="G19" s="699"/>
      <c r="H19" s="699"/>
      <c r="I19" s="699"/>
      <c r="J19" s="699"/>
      <c r="K19" s="699"/>
      <c r="L19" s="699"/>
      <c r="M19" s="699"/>
      <c r="N19" s="699"/>
      <c r="O19" s="1424"/>
    </row>
    <row r="20" spans="2:15" x14ac:dyDescent="0.25">
      <c r="B20" s="1423"/>
      <c r="C20" s="1208"/>
      <c r="D20" s="2640" t="s">
        <v>553</v>
      </c>
      <c r="E20" s="2640"/>
      <c r="F20" s="2640"/>
      <c r="G20" s="2640"/>
      <c r="H20" s="2640"/>
      <c r="I20" s="2640"/>
      <c r="J20" s="2640"/>
      <c r="K20" s="2640"/>
      <c r="L20" s="2640"/>
      <c r="M20" s="2640"/>
      <c r="N20" s="699"/>
      <c r="O20" s="1424"/>
    </row>
    <row r="21" spans="2:15" x14ac:dyDescent="0.25">
      <c r="B21" s="1423"/>
      <c r="C21" s="1208"/>
      <c r="D21" s="699"/>
      <c r="E21" s="1208"/>
      <c r="F21" s="1209"/>
      <c r="G21" s="699"/>
      <c r="H21" s="699"/>
      <c r="I21" s="699"/>
      <c r="J21" s="699"/>
      <c r="K21" s="699"/>
      <c r="L21" s="699"/>
      <c r="M21" s="699"/>
      <c r="N21" s="699"/>
      <c r="O21" s="1424"/>
    </row>
    <row r="22" spans="2:15" x14ac:dyDescent="0.25">
      <c r="B22" s="1423"/>
      <c r="C22" s="1208"/>
      <c r="D22" s="699"/>
      <c r="E22" s="257"/>
      <c r="F22" s="2645" t="s">
        <v>730</v>
      </c>
      <c r="G22" s="2645"/>
      <c r="H22" s="2645"/>
      <c r="I22" s="2645"/>
      <c r="J22" s="2645"/>
      <c r="K22" s="2645"/>
      <c r="L22" s="2645"/>
      <c r="M22" s="2645"/>
      <c r="N22" s="41"/>
      <c r="O22" s="1424"/>
    </row>
    <row r="23" spans="2:15" x14ac:dyDescent="0.25">
      <c r="B23" s="1423"/>
      <c r="C23" s="1208"/>
      <c r="D23" s="1208"/>
      <c r="E23" s="1208"/>
      <c r="F23" s="1208"/>
      <c r="G23" s="1208"/>
      <c r="H23" s="1208"/>
      <c r="I23" s="1208"/>
      <c r="J23" s="1471"/>
      <c r="K23" s="1209"/>
      <c r="L23" s="1208"/>
      <c r="M23" s="1208"/>
      <c r="N23" s="1208"/>
      <c r="O23" s="1424"/>
    </row>
    <row r="24" spans="2:15" x14ac:dyDescent="0.25">
      <c r="B24" s="1423"/>
      <c r="C24" s="257">
        <v>2</v>
      </c>
      <c r="D24" s="1427" t="s">
        <v>668</v>
      </c>
      <c r="E24" s="1427"/>
      <c r="F24" s="1428"/>
      <c r="G24" s="1429"/>
      <c r="H24" s="1429"/>
      <c r="I24" s="1429"/>
      <c r="J24" s="1429"/>
      <c r="K24" s="1429"/>
      <c r="L24" s="1429"/>
      <c r="M24" s="1430"/>
      <c r="N24" s="1417">
        <v>15</v>
      </c>
      <c r="O24" s="1424"/>
    </row>
    <row r="25" spans="2:15" ht="3.75" customHeight="1" x14ac:dyDescent="0.25">
      <c r="B25" s="1423"/>
      <c r="C25" s="1208"/>
      <c r="D25" s="699"/>
      <c r="E25" s="699"/>
      <c r="F25" s="1209"/>
      <c r="G25" s="699"/>
      <c r="H25" s="699"/>
      <c r="I25" s="699"/>
      <c r="J25" s="699"/>
      <c r="K25" s="699"/>
      <c r="L25" s="699"/>
      <c r="M25" s="1437"/>
      <c r="N25" s="699"/>
      <c r="O25" s="1424"/>
    </row>
    <row r="26" spans="2:15" x14ac:dyDescent="0.25">
      <c r="B26" s="1423"/>
      <c r="C26" s="1208"/>
      <c r="D26" s="2640" t="s">
        <v>604</v>
      </c>
      <c r="E26" s="2640"/>
      <c r="F26" s="2640"/>
      <c r="G26" s="2640"/>
      <c r="H26" s="2640"/>
      <c r="I26" s="2640"/>
      <c r="J26" s="2640"/>
      <c r="K26" s="2640"/>
      <c r="L26" s="2640"/>
      <c r="M26" s="2640"/>
      <c r="N26" s="1208"/>
      <c r="O26" s="1424"/>
    </row>
    <row r="27" spans="2:15" x14ac:dyDescent="0.25">
      <c r="B27" s="1423"/>
      <c r="C27" s="1208"/>
      <c r="D27" s="1209"/>
      <c r="E27" s="1209"/>
      <c r="F27" s="1208"/>
      <c r="G27" s="1208"/>
      <c r="H27" s="1208"/>
      <c r="I27" s="1208"/>
      <c r="J27" s="1208"/>
      <c r="K27" s="1208"/>
      <c r="L27" s="1208"/>
      <c r="M27" s="1208"/>
      <c r="N27" s="1208"/>
      <c r="O27" s="1424"/>
    </row>
    <row r="28" spans="2:15" x14ac:dyDescent="0.25">
      <c r="B28" s="1423"/>
      <c r="C28" s="1208"/>
      <c r="D28" s="1208"/>
      <c r="E28" s="1208"/>
      <c r="F28" s="2630" t="s">
        <v>907</v>
      </c>
      <c r="G28" s="2630"/>
      <c r="H28" s="699"/>
      <c r="I28" s="1431"/>
      <c r="J28" s="1438"/>
      <c r="K28" s="1439"/>
      <c r="L28" s="1208"/>
      <c r="M28" s="1208"/>
      <c r="N28" s="1208"/>
      <c r="O28" s="1424"/>
    </row>
    <row r="29" spans="2:15" x14ac:dyDescent="0.25">
      <c r="B29" s="1423"/>
      <c r="C29" s="1208"/>
      <c r="D29" s="1208"/>
      <c r="E29" s="1208"/>
      <c r="F29" s="1208"/>
      <c r="G29" s="1208"/>
      <c r="H29" s="1208"/>
      <c r="I29" s="1208"/>
      <c r="J29" s="1208"/>
      <c r="K29" s="1208"/>
      <c r="L29" s="1208"/>
      <c r="M29" s="1208"/>
      <c r="N29" s="1208"/>
      <c r="O29" s="1424"/>
    </row>
    <row r="30" spans="2:15" x14ac:dyDescent="0.25">
      <c r="B30" s="1423"/>
      <c r="C30" s="257">
        <v>3</v>
      </c>
      <c r="D30" s="1427" t="s">
        <v>669</v>
      </c>
      <c r="E30" s="1427"/>
      <c r="F30" s="1428"/>
      <c r="G30" s="1429"/>
      <c r="H30" s="1429"/>
      <c r="I30" s="1429"/>
      <c r="J30" s="1429"/>
      <c r="K30" s="1429"/>
      <c r="L30" s="1429"/>
      <c r="M30" s="1430"/>
      <c r="N30" s="1417">
        <v>0</v>
      </c>
      <c r="O30" s="1424"/>
    </row>
    <row r="31" spans="2:15" ht="3.75" customHeight="1" x14ac:dyDescent="0.25">
      <c r="B31" s="1423"/>
      <c r="C31" s="1208"/>
      <c r="D31" s="699"/>
      <c r="E31" s="699"/>
      <c r="F31" s="1209"/>
      <c r="G31" s="699"/>
      <c r="H31" s="699"/>
      <c r="I31" s="699"/>
      <c r="J31" s="699"/>
      <c r="K31" s="699"/>
      <c r="L31" s="699"/>
      <c r="M31" s="699"/>
      <c r="N31" s="699"/>
      <c r="O31" s="1424"/>
    </row>
    <row r="32" spans="2:15" ht="30" customHeight="1" x14ac:dyDescent="0.25">
      <c r="B32" s="1423"/>
      <c r="C32" s="1208"/>
      <c r="D32" s="2631" t="s">
        <v>605</v>
      </c>
      <c r="E32" s="2631"/>
      <c r="F32" s="2631"/>
      <c r="G32" s="2631"/>
      <c r="H32" s="2631"/>
      <c r="I32" s="2631"/>
      <c r="J32" s="2631"/>
      <c r="K32" s="2631"/>
      <c r="L32" s="2631"/>
      <c r="M32" s="2631"/>
      <c r="N32" s="1209"/>
      <c r="O32" s="1424"/>
    </row>
    <row r="33" spans="2:15" ht="7.5" customHeight="1" x14ac:dyDescent="0.25">
      <c r="B33" s="1423"/>
      <c r="C33" s="1208"/>
      <c r="D33" s="1208"/>
      <c r="E33" s="1208"/>
      <c r="F33" s="1443"/>
      <c r="G33" s="1443"/>
      <c r="H33" s="1443"/>
      <c r="I33" s="1443"/>
      <c r="J33" s="1209" t="s">
        <v>330</v>
      </c>
      <c r="K33" s="1443"/>
      <c r="L33" s="1443"/>
      <c r="M33" s="1443"/>
      <c r="N33" s="1443"/>
      <c r="O33" s="1444"/>
    </row>
    <row r="34" spans="2:15" x14ac:dyDescent="0.25">
      <c r="B34" s="1423"/>
      <c r="C34" s="1208"/>
      <c r="D34" s="401" t="s">
        <v>699</v>
      </c>
      <c r="E34" s="1209"/>
      <c r="F34" s="1208"/>
      <c r="G34" s="1431"/>
      <c r="H34" s="1431"/>
      <c r="I34" s="1431"/>
      <c r="J34" s="1431"/>
      <c r="K34" s="1431"/>
      <c r="L34" s="1208"/>
      <c r="M34" s="1208"/>
      <c r="N34" s="1208"/>
      <c r="O34" s="1424"/>
    </row>
    <row r="35" spans="2:15" ht="7.5" customHeight="1" x14ac:dyDescent="0.25">
      <c r="B35" s="1423"/>
      <c r="C35" s="1208"/>
      <c r="D35" s="1209"/>
      <c r="E35" s="1209"/>
      <c r="F35" s="1208"/>
      <c r="G35" s="1431"/>
      <c r="H35" s="1431"/>
      <c r="I35" s="1431"/>
      <c r="J35" s="1431"/>
      <c r="K35" s="1431"/>
      <c r="L35" s="1208"/>
      <c r="M35" s="1208"/>
      <c r="N35" s="1208"/>
      <c r="O35" s="1424"/>
    </row>
    <row r="36" spans="2:15" x14ac:dyDescent="0.25">
      <c r="B36" s="1423"/>
      <c r="C36" s="1208"/>
      <c r="D36" s="1208"/>
      <c r="E36" s="1208"/>
      <c r="F36" s="2630" t="s">
        <v>561</v>
      </c>
      <c r="G36" s="2630"/>
      <c r="H36" s="2630"/>
      <c r="I36" s="2630"/>
      <c r="J36" s="2630"/>
      <c r="K36" s="2630"/>
      <c r="L36" s="2630"/>
      <c r="M36" s="2630"/>
      <c r="N36" s="1445"/>
      <c r="O36" s="1424"/>
    </row>
    <row r="37" spans="2:15" ht="7.5" customHeight="1" x14ac:dyDescent="0.25">
      <c r="B37" s="1423"/>
      <c r="C37" s="1208"/>
      <c r="D37" s="1208"/>
      <c r="E37" s="1208"/>
      <c r="F37" s="1445"/>
      <c r="G37" s="1445"/>
      <c r="H37" s="1445"/>
      <c r="I37" s="1445"/>
      <c r="J37" s="1445"/>
      <c r="K37" s="1445"/>
      <c r="L37" s="1445"/>
      <c r="M37" s="1445"/>
      <c r="N37" s="1445"/>
      <c r="O37" s="1424"/>
    </row>
    <row r="38" spans="2:15" x14ac:dyDescent="0.25">
      <c r="B38" s="1423"/>
      <c r="C38" s="1208"/>
      <c r="D38" s="401" t="s">
        <v>700</v>
      </c>
      <c r="E38" s="1209"/>
      <c r="F38" s="1208"/>
      <c r="G38" s="1431"/>
      <c r="H38" s="1431"/>
      <c r="I38" s="1431"/>
      <c r="J38" s="1431"/>
      <c r="K38" s="1431"/>
      <c r="L38" s="1208"/>
      <c r="M38" s="1208"/>
      <c r="N38" s="1208"/>
      <c r="O38" s="1424"/>
    </row>
    <row r="39" spans="2:15" ht="7.5" customHeight="1" x14ac:dyDescent="0.25">
      <c r="B39" s="1423"/>
      <c r="C39" s="1208"/>
      <c r="D39" s="1209"/>
      <c r="E39" s="1209"/>
      <c r="F39" s="1208"/>
      <c r="G39" s="1431"/>
      <c r="H39" s="1431"/>
      <c r="I39" s="1431"/>
      <c r="J39" s="1431"/>
      <c r="K39" s="1431"/>
      <c r="L39" s="1208"/>
      <c r="M39" s="1208"/>
      <c r="N39" s="1208"/>
      <c r="O39" s="1424"/>
    </row>
    <row r="40" spans="2:15" x14ac:dyDescent="0.25">
      <c r="B40" s="1423"/>
      <c r="C40" s="1208"/>
      <c r="D40" s="1208"/>
      <c r="E40" s="1208"/>
      <c r="F40" s="2630" t="s">
        <v>561</v>
      </c>
      <c r="G40" s="2630"/>
      <c r="H40" s="2630"/>
      <c r="I40" s="2630"/>
      <c r="J40" s="2630"/>
      <c r="K40" s="2630"/>
      <c r="L40" s="2630"/>
      <c r="M40" s="2630"/>
      <c r="N40" s="1439"/>
      <c r="O40" s="1424"/>
    </row>
    <row r="41" spans="2:15" ht="7.5" customHeight="1" x14ac:dyDescent="0.25">
      <c r="B41" s="1423"/>
      <c r="C41" s="1436"/>
      <c r="D41" s="1436"/>
      <c r="E41" s="1436"/>
      <c r="F41" s="1445"/>
      <c r="G41" s="1445"/>
      <c r="H41" s="1436"/>
      <c r="I41" s="1445"/>
      <c r="J41" s="1445"/>
      <c r="K41" s="1445"/>
      <c r="L41" s="1445"/>
      <c r="M41" s="1448"/>
      <c r="N41" s="1445"/>
      <c r="O41" s="1424"/>
    </row>
    <row r="42" spans="2:15" x14ac:dyDescent="0.25">
      <c r="B42" s="1423"/>
      <c r="C42" s="1208"/>
      <c r="D42" s="1449" t="s">
        <v>702</v>
      </c>
      <c r="E42" s="1449"/>
      <c r="F42" s="1445"/>
      <c r="G42" s="1445"/>
      <c r="H42" s="1208"/>
      <c r="I42" s="1445"/>
      <c r="J42" s="1445"/>
      <c r="K42" s="1445"/>
      <c r="L42" s="1445"/>
      <c r="M42" s="1448"/>
      <c r="N42" s="1445"/>
      <c r="O42" s="1424"/>
    </row>
    <row r="43" spans="2:15" ht="7.5" customHeight="1" x14ac:dyDescent="0.25">
      <c r="B43" s="1423"/>
      <c r="C43" s="1208"/>
      <c r="D43" s="1449"/>
      <c r="E43" s="1449"/>
      <c r="F43" s="1445"/>
      <c r="G43" s="1445"/>
      <c r="H43" s="1208"/>
      <c r="I43" s="1445"/>
      <c r="J43" s="1445"/>
      <c r="K43" s="1445"/>
      <c r="L43" s="1445"/>
      <c r="M43" s="1448"/>
      <c r="N43" s="1445"/>
      <c r="O43" s="1424"/>
    </row>
    <row r="44" spans="2:15" x14ac:dyDescent="0.25">
      <c r="B44" s="1423"/>
      <c r="C44" s="1208"/>
      <c r="D44" s="1208"/>
      <c r="E44" s="1449"/>
      <c r="F44" s="2630" t="s">
        <v>561</v>
      </c>
      <c r="G44" s="2630"/>
      <c r="H44" s="2630"/>
      <c r="I44" s="2630"/>
      <c r="J44" s="2630"/>
      <c r="K44" s="2630"/>
      <c r="L44" s="2630"/>
      <c r="M44" s="2630"/>
      <c r="N44" s="1445"/>
      <c r="O44" s="1424"/>
    </row>
    <row r="45" spans="2:15" ht="7.5" customHeight="1" x14ac:dyDescent="0.25">
      <c r="B45" s="1423"/>
      <c r="C45" s="1436"/>
      <c r="D45" s="1436"/>
      <c r="E45" s="1449"/>
      <c r="F45" s="1445"/>
      <c r="G45" s="1445"/>
      <c r="H45" s="1445"/>
      <c r="I45" s="1445"/>
      <c r="J45" s="1445"/>
      <c r="K45" s="1445"/>
      <c r="L45" s="1445"/>
      <c r="M45" s="1445"/>
      <c r="N45" s="1445"/>
      <c r="O45" s="1424"/>
    </row>
    <row r="46" spans="2:15" x14ac:dyDescent="0.25">
      <c r="B46" s="1423"/>
      <c r="C46" s="1208"/>
      <c r="D46" s="1208"/>
      <c r="E46" s="1208"/>
      <c r="F46" s="1472" t="s">
        <v>606</v>
      </c>
      <c r="G46" s="821"/>
      <c r="H46" s="1208"/>
      <c r="I46" s="1445"/>
      <c r="J46" s="1445"/>
      <c r="K46" s="1445"/>
      <c r="L46" s="1445"/>
      <c r="M46" s="1448"/>
      <c r="N46" s="1445"/>
      <c r="O46" s="1424"/>
    </row>
    <row r="47" spans="2:15" x14ac:dyDescent="0.25">
      <c r="B47" s="1423"/>
      <c r="C47" s="1208"/>
      <c r="D47" s="1208"/>
      <c r="E47" s="1208"/>
      <c r="F47" s="1445"/>
      <c r="G47" s="1734"/>
      <c r="H47" s="1445" t="s">
        <v>607</v>
      </c>
      <c r="I47" s="1445"/>
      <c r="J47" s="1445"/>
      <c r="K47" s="1445"/>
      <c r="L47" s="1445"/>
      <c r="M47" s="1448"/>
      <c r="N47" s="1445"/>
      <c r="O47" s="1424"/>
    </row>
    <row r="48" spans="2:15" x14ac:dyDescent="0.25">
      <c r="B48" s="1423"/>
      <c r="C48" s="1208"/>
      <c r="D48" s="1208"/>
      <c r="E48" s="1208"/>
      <c r="F48" s="1445"/>
      <c r="G48" s="1734"/>
      <c r="H48" s="1445" t="s">
        <v>608</v>
      </c>
      <c r="I48" s="1445"/>
      <c r="J48" s="1445"/>
      <c r="K48" s="1445"/>
      <c r="L48" s="1445"/>
      <c r="M48" s="1448"/>
      <c r="N48" s="1445"/>
      <c r="O48" s="1424"/>
    </row>
    <row r="49" spans="2:15" x14ac:dyDescent="0.25">
      <c r="B49" s="1423"/>
      <c r="C49" s="1208"/>
      <c r="D49" s="1208"/>
      <c r="E49" s="1208"/>
      <c r="F49" s="1445"/>
      <c r="G49" s="1734"/>
      <c r="H49" s="1445" t="s">
        <v>609</v>
      </c>
      <c r="I49" s="1445"/>
      <c r="J49" s="1445"/>
      <c r="K49" s="1445"/>
      <c r="L49" s="1445"/>
      <c r="M49" s="1448"/>
      <c r="N49" s="1445"/>
      <c r="O49" s="1424"/>
    </row>
    <row r="50" spans="2:15" x14ac:dyDescent="0.25">
      <c r="B50" s="1423"/>
      <c r="C50" s="1208"/>
      <c r="D50" s="1208"/>
      <c r="E50" s="1208"/>
      <c r="F50" s="1445"/>
      <c r="G50" s="1734"/>
      <c r="H50" s="1436" t="s">
        <v>610</v>
      </c>
      <c r="I50" s="1445"/>
      <c r="J50" s="1445"/>
      <c r="K50" s="1445"/>
      <c r="L50" s="1445"/>
      <c r="M50" s="1448"/>
      <c r="N50" s="1445"/>
      <c r="O50" s="1424"/>
    </row>
    <row r="51" spans="2:15" x14ac:dyDescent="0.25">
      <c r="B51" s="1423"/>
      <c r="C51" s="1208"/>
      <c r="D51" s="1208"/>
      <c r="E51" s="1208"/>
      <c r="F51" s="1445"/>
      <c r="G51" s="1734"/>
      <c r="H51" s="1436" t="s">
        <v>611</v>
      </c>
      <c r="I51" s="1445"/>
      <c r="J51" s="1445"/>
      <c r="K51" s="1445"/>
      <c r="L51" s="1445"/>
      <c r="M51" s="1448"/>
      <c r="N51" s="1445"/>
      <c r="O51" s="1424"/>
    </row>
    <row r="52" spans="2:15" x14ac:dyDescent="0.25">
      <c r="B52" s="1423"/>
      <c r="C52" s="1208"/>
      <c r="D52" s="1208"/>
      <c r="E52" s="1208"/>
      <c r="F52" s="1445"/>
      <c r="G52" s="1473"/>
      <c r="H52" s="1208"/>
      <c r="I52" s="1445"/>
      <c r="J52" s="1445"/>
      <c r="K52" s="1445"/>
      <c r="L52" s="1445"/>
      <c r="M52" s="1448"/>
      <c r="N52" s="1445"/>
      <c r="O52" s="1424"/>
    </row>
    <row r="53" spans="2:15" x14ac:dyDescent="0.25">
      <c r="B53" s="1423"/>
      <c r="C53" s="257">
        <v>4</v>
      </c>
      <c r="D53" s="1427" t="s">
        <v>673</v>
      </c>
      <c r="E53" s="1427"/>
      <c r="F53" s="1428"/>
      <c r="G53" s="1429"/>
      <c r="H53" s="1429"/>
      <c r="I53" s="1429"/>
      <c r="J53" s="1429"/>
      <c r="K53" s="1429"/>
      <c r="L53" s="1429"/>
      <c r="M53" s="1430"/>
      <c r="N53" s="1417">
        <v>0</v>
      </c>
      <c r="O53" s="1424"/>
    </row>
    <row r="54" spans="2:15" ht="3.75" customHeight="1" x14ac:dyDescent="0.25">
      <c r="B54" s="1423"/>
      <c r="C54" s="1208"/>
      <c r="D54" s="699"/>
      <c r="E54" s="699"/>
      <c r="F54" s="1209"/>
      <c r="G54" s="699"/>
      <c r="H54" s="699"/>
      <c r="I54" s="699"/>
      <c r="J54" s="699"/>
      <c r="K54" s="699"/>
      <c r="L54" s="699"/>
      <c r="M54" s="1437"/>
      <c r="N54" s="699"/>
      <c r="O54" s="1424"/>
    </row>
    <row r="55" spans="2:15" ht="30" customHeight="1" x14ac:dyDescent="0.25">
      <c r="B55" s="1423"/>
      <c r="C55" s="1208"/>
      <c r="D55" s="2652" t="s">
        <v>612</v>
      </c>
      <c r="E55" s="2652"/>
      <c r="F55" s="2652"/>
      <c r="G55" s="2652"/>
      <c r="H55" s="2652"/>
      <c r="I55" s="2652"/>
      <c r="J55" s="2652"/>
      <c r="K55" s="2652"/>
      <c r="L55" s="2652"/>
      <c r="M55" s="2652"/>
      <c r="N55" s="1208"/>
      <c r="O55" s="1424"/>
    </row>
    <row r="56" spans="2:15" ht="7.5" customHeight="1" x14ac:dyDescent="0.25">
      <c r="B56" s="1423"/>
      <c r="C56" s="1208"/>
      <c r="D56" s="1209"/>
      <c r="E56" s="1209"/>
      <c r="F56" s="1449"/>
      <c r="G56" s="1208"/>
      <c r="H56" s="1208"/>
      <c r="I56" s="1208"/>
      <c r="J56" s="1208"/>
      <c r="K56" s="1208"/>
      <c r="L56" s="1208"/>
      <c r="M56" s="1208"/>
      <c r="N56" s="1208"/>
      <c r="O56" s="1424"/>
    </row>
    <row r="57" spans="2:15" x14ac:dyDescent="0.25">
      <c r="B57" s="1423"/>
      <c r="C57" s="1208"/>
      <c r="D57" s="1208"/>
      <c r="E57" s="1208"/>
      <c r="F57" s="2646" t="s">
        <v>561</v>
      </c>
      <c r="G57" s="2646"/>
      <c r="H57" s="2646"/>
      <c r="I57" s="2646"/>
      <c r="J57" s="2646"/>
      <c r="K57" s="2646"/>
      <c r="L57" s="2646"/>
      <c r="M57" s="2646"/>
      <c r="N57" s="1474"/>
      <c r="O57" s="1424"/>
    </row>
    <row r="58" spans="2:15" ht="7.5" customHeight="1" x14ac:dyDescent="0.25">
      <c r="B58" s="1423"/>
      <c r="C58" s="1208"/>
      <c r="D58" s="1208"/>
      <c r="E58" s="1208"/>
      <c r="F58" s="1474"/>
      <c r="G58" s="1474"/>
      <c r="H58" s="1474"/>
      <c r="I58" s="1474"/>
      <c r="J58" s="1474"/>
      <c r="K58" s="1474"/>
      <c r="L58" s="1474"/>
      <c r="M58" s="1474"/>
      <c r="N58" s="1474"/>
      <c r="O58" s="1424"/>
    </row>
    <row r="59" spans="2:15" x14ac:dyDescent="0.25">
      <c r="B59" s="1423"/>
      <c r="C59" s="1208"/>
      <c r="D59" s="1208"/>
      <c r="E59" s="1208"/>
      <c r="F59" s="1208"/>
      <c r="G59" s="1449" t="s">
        <v>613</v>
      </c>
      <c r="H59" s="1208"/>
      <c r="I59" s="1208"/>
      <c r="J59" s="1208"/>
      <c r="K59" s="1208"/>
      <c r="L59" s="1208"/>
      <c r="M59" s="1208"/>
      <c r="N59" s="1208"/>
      <c r="O59" s="1424"/>
    </row>
    <row r="60" spans="2:15" x14ac:dyDescent="0.25">
      <c r="B60" s="1423"/>
      <c r="C60" s="1208"/>
      <c r="D60" s="1208"/>
      <c r="E60" s="1208"/>
      <c r="F60" s="1208"/>
      <c r="G60" s="1446" t="s">
        <v>614</v>
      </c>
      <c r="H60" s="1208"/>
      <c r="I60" s="1450"/>
      <c r="J60" s="1208"/>
      <c r="K60" s="1735">
        <v>0</v>
      </c>
      <c r="L60" s="1475"/>
      <c r="M60" s="1475"/>
      <c r="N60" s="1476"/>
      <c r="O60" s="1424"/>
    </row>
    <row r="61" spans="2:15" x14ac:dyDescent="0.25">
      <c r="B61" s="1423"/>
      <c r="C61" s="1208"/>
      <c r="D61" s="1208"/>
      <c r="E61" s="1208"/>
      <c r="F61" s="1208"/>
      <c r="G61" s="1738" t="s">
        <v>615</v>
      </c>
      <c r="H61" s="1739"/>
      <c r="I61" s="1740"/>
      <c r="J61" s="1741"/>
      <c r="K61" s="1736">
        <f>'1B - 4%'!L20</f>
        <v>79</v>
      </c>
      <c r="L61" s="1475"/>
      <c r="M61" s="1475"/>
      <c r="N61" s="1476"/>
      <c r="O61" s="1424"/>
    </row>
    <row r="62" spans="2:15" x14ac:dyDescent="0.25">
      <c r="B62" s="1423"/>
      <c r="C62" s="1208"/>
      <c r="D62" s="1208"/>
      <c r="E62" s="1208"/>
      <c r="F62" s="1208"/>
      <c r="G62" s="1446" t="s">
        <v>616</v>
      </c>
      <c r="H62" s="1451"/>
      <c r="I62" s="1450"/>
      <c r="J62" s="1208"/>
      <c r="K62" s="1737">
        <f>IFERROR(K60/K61,"0%")</f>
        <v>0</v>
      </c>
      <c r="L62" s="1460"/>
      <c r="M62" s="1460"/>
      <c r="N62" s="1480"/>
      <c r="O62" s="1424"/>
    </row>
    <row r="63" spans="2:15" ht="15" customHeight="1" x14ac:dyDescent="0.25">
      <c r="B63" s="1423"/>
      <c r="C63" s="1436"/>
      <c r="D63" s="1436"/>
      <c r="E63" s="1436"/>
      <c r="F63" s="1459"/>
      <c r="G63" s="1436"/>
      <c r="H63" s="1436"/>
      <c r="I63" s="1451"/>
      <c r="J63" s="1450"/>
      <c r="K63" s="1460"/>
      <c r="L63" s="1460"/>
      <c r="M63" s="1460"/>
      <c r="N63" s="1460"/>
      <c r="O63" s="1424"/>
    </row>
    <row r="64" spans="2:15" x14ac:dyDescent="0.25">
      <c r="B64" s="1423"/>
      <c r="C64" s="257">
        <v>5</v>
      </c>
      <c r="D64" s="1427" t="s">
        <v>704</v>
      </c>
      <c r="E64" s="1427"/>
      <c r="F64" s="1428"/>
      <c r="G64" s="1429"/>
      <c r="H64" s="1429"/>
      <c r="I64" s="1429"/>
      <c r="J64" s="1429"/>
      <c r="K64" s="1429"/>
      <c r="L64" s="1429"/>
      <c r="M64" s="1430"/>
      <c r="N64" s="1419">
        <v>10</v>
      </c>
      <c r="O64" s="1424"/>
    </row>
    <row r="65" spans="2:15" ht="3.75" customHeight="1" x14ac:dyDescent="0.25">
      <c r="B65" s="1423"/>
      <c r="C65" s="1208"/>
      <c r="D65" s="699"/>
      <c r="E65" s="699"/>
      <c r="F65" s="1209"/>
      <c r="G65" s="699"/>
      <c r="H65" s="699"/>
      <c r="I65" s="699"/>
      <c r="J65" s="699"/>
      <c r="K65" s="699"/>
      <c r="L65" s="699"/>
      <c r="M65" s="1437"/>
      <c r="N65" s="699"/>
      <c r="O65" s="1424"/>
    </row>
    <row r="66" spans="2:15" ht="30" customHeight="1" x14ac:dyDescent="0.25">
      <c r="B66" s="1423"/>
      <c r="C66" s="1208"/>
      <c r="D66" s="2631" t="s">
        <v>617</v>
      </c>
      <c r="E66" s="2631"/>
      <c r="F66" s="2631"/>
      <c r="G66" s="2631"/>
      <c r="H66" s="2631"/>
      <c r="I66" s="2631"/>
      <c r="J66" s="2631"/>
      <c r="K66" s="2631"/>
      <c r="L66" s="2631"/>
      <c r="M66" s="2631"/>
      <c r="N66" s="1209"/>
      <c r="O66" s="1424"/>
    </row>
    <row r="67" spans="2:15" ht="7.5" customHeight="1" x14ac:dyDescent="0.25">
      <c r="B67" s="1423"/>
      <c r="C67" s="1208"/>
      <c r="D67" s="1209"/>
      <c r="E67" s="1209"/>
      <c r="F67" s="1208"/>
      <c r="G67" s="1208"/>
      <c r="H67" s="1208"/>
      <c r="I67" s="1208"/>
      <c r="J67" s="1208"/>
      <c r="K67" s="1208"/>
      <c r="L67" s="1208"/>
      <c r="M67" s="1208"/>
      <c r="N67" s="1208"/>
      <c r="O67" s="1424"/>
    </row>
    <row r="68" spans="2:15" x14ac:dyDescent="0.25">
      <c r="B68" s="1423"/>
      <c r="C68" s="1208"/>
      <c r="D68" s="1209"/>
      <c r="E68" s="1209"/>
      <c r="F68" s="2647" t="s">
        <v>561</v>
      </c>
      <c r="G68" s="2648"/>
      <c r="H68" s="2648"/>
      <c r="I68" s="2648"/>
      <c r="J68" s="2648"/>
      <c r="K68" s="2648"/>
      <c r="L68" s="2648"/>
      <c r="M68" s="2649"/>
      <c r="N68" s="1445"/>
      <c r="O68" s="1424"/>
    </row>
    <row r="69" spans="2:15" ht="7.5" customHeight="1" x14ac:dyDescent="0.25">
      <c r="B69" s="1423"/>
      <c r="C69" s="1208"/>
      <c r="D69" s="1209"/>
      <c r="E69" s="1209"/>
      <c r="F69" s="1445"/>
      <c r="G69" s="1445"/>
      <c r="H69" s="1445"/>
      <c r="I69" s="1445"/>
      <c r="J69" s="1445"/>
      <c r="K69" s="1445"/>
      <c r="L69" s="1445"/>
      <c r="M69" s="1445"/>
      <c r="N69" s="1445"/>
      <c r="O69" s="1424"/>
    </row>
    <row r="70" spans="2:15" x14ac:dyDescent="0.25">
      <c r="B70" s="1423"/>
      <c r="C70" s="1208"/>
      <c r="D70" s="1208"/>
      <c r="E70" s="1208"/>
      <c r="F70" s="1208"/>
      <c r="G70" s="1449" t="s">
        <v>618</v>
      </c>
      <c r="H70" s="1208"/>
      <c r="I70" s="1208"/>
      <c r="J70" s="1208"/>
      <c r="K70" s="1208"/>
      <c r="L70" s="1208"/>
      <c r="M70" s="1208"/>
      <c r="N70" s="1208"/>
      <c r="O70" s="1424"/>
    </row>
    <row r="71" spans="2:15" x14ac:dyDescent="0.25">
      <c r="B71" s="1423"/>
      <c r="C71" s="1208"/>
      <c r="D71" s="1208"/>
      <c r="E71" s="1208"/>
      <c r="F71" s="1208"/>
      <c r="G71" s="1446" t="s">
        <v>619</v>
      </c>
      <c r="H71" s="1208"/>
      <c r="I71" s="1450"/>
      <c r="J71" s="2635">
        <v>5820000</v>
      </c>
      <c r="K71" s="2635"/>
      <c r="L71" s="1481"/>
      <c r="M71" s="1481"/>
      <c r="N71" s="1208"/>
      <c r="O71" s="1424"/>
    </row>
    <row r="72" spans="2:15" x14ac:dyDescent="0.25">
      <c r="B72" s="1423"/>
      <c r="C72" s="1208"/>
      <c r="D72" s="1208"/>
      <c r="E72" s="1208"/>
      <c r="F72" s="1208"/>
      <c r="G72" s="1738" t="s">
        <v>703</v>
      </c>
      <c r="H72" s="1739"/>
      <c r="I72" s="1740"/>
      <c r="J72" s="2650">
        <f>'6A - 4%'!J118</f>
        <v>23156305</v>
      </c>
      <c r="K72" s="2650"/>
      <c r="L72" s="1481"/>
      <c r="M72" s="1481"/>
      <c r="N72" s="1208"/>
      <c r="O72" s="1424"/>
    </row>
    <row r="73" spans="2:15" x14ac:dyDescent="0.25">
      <c r="B73" s="1423"/>
      <c r="C73" s="1208"/>
      <c r="D73" s="1208"/>
      <c r="E73" s="1208"/>
      <c r="F73" s="1208"/>
      <c r="G73" s="1446" t="s">
        <v>568</v>
      </c>
      <c r="H73" s="1451"/>
      <c r="I73" s="1450"/>
      <c r="J73" s="2651">
        <f>IFERROR(J71/J72,"0%")</f>
        <v>0.25133543542460685</v>
      </c>
      <c r="K73" s="2651"/>
      <c r="L73" s="1460"/>
      <c r="M73" s="1460"/>
      <c r="N73" s="1208"/>
      <c r="O73" s="1424"/>
    </row>
    <row r="74" spans="2:15" ht="15.75" thickBot="1" x14ac:dyDescent="0.3">
      <c r="B74" s="1453"/>
      <c r="C74" s="1454"/>
      <c r="D74" s="1454"/>
      <c r="E74" s="1454"/>
      <c r="F74" s="1454"/>
      <c r="G74" s="1454"/>
      <c r="H74" s="1482"/>
      <c r="I74" s="1455"/>
      <c r="J74" s="1483"/>
      <c r="K74" s="1483"/>
      <c r="L74" s="1483"/>
      <c r="M74" s="1483"/>
      <c r="N74" s="1454"/>
      <c r="O74" s="1458"/>
    </row>
    <row r="75" spans="2:15" ht="9" customHeight="1" x14ac:dyDescent="0.25">
      <c r="B75" s="1420"/>
      <c r="C75" s="1421"/>
      <c r="D75" s="1421"/>
      <c r="E75" s="1421"/>
      <c r="F75" s="1421"/>
      <c r="G75" s="1421"/>
      <c r="H75" s="1421"/>
      <c r="I75" s="1421"/>
      <c r="J75" s="1421"/>
      <c r="K75" s="1421"/>
      <c r="L75" s="1421"/>
      <c r="M75" s="1421"/>
      <c r="N75" s="1421"/>
      <c r="O75" s="1422"/>
    </row>
    <row r="76" spans="2:15" ht="18.75" x14ac:dyDescent="0.3">
      <c r="B76" s="1423"/>
      <c r="C76" s="2225" t="s">
        <v>1072</v>
      </c>
      <c r="D76" s="2225"/>
      <c r="E76" s="2225"/>
      <c r="F76" s="2225"/>
      <c r="G76" s="2225"/>
      <c r="H76" s="2225"/>
      <c r="I76" s="2225"/>
      <c r="J76" s="2225"/>
      <c r="K76" s="2225"/>
      <c r="L76" s="2225"/>
      <c r="M76" s="2225"/>
      <c r="N76" s="1153"/>
      <c r="O76" s="1424"/>
    </row>
    <row r="77" spans="2:15" x14ac:dyDescent="0.25">
      <c r="B77" s="1423"/>
      <c r="C77" s="1470"/>
      <c r="D77" s="1470"/>
      <c r="E77" s="1470"/>
      <c r="F77" s="1470"/>
      <c r="G77" s="1470"/>
      <c r="H77" s="1470"/>
      <c r="I77" s="1470"/>
      <c r="J77" s="1470"/>
      <c r="K77" s="1470"/>
      <c r="L77" s="1470"/>
      <c r="M77" s="1470"/>
      <c r="N77" s="1470"/>
      <c r="O77" s="1424"/>
    </row>
    <row r="78" spans="2:15" x14ac:dyDescent="0.25">
      <c r="B78" s="1423"/>
      <c r="C78" s="821"/>
      <c r="D78" s="1436" t="s">
        <v>1</v>
      </c>
      <c r="E78" s="1123"/>
      <c r="F78" s="1123"/>
      <c r="G78" s="1122" t="str">
        <f>IF('1A'!G83="","Enter Project Name on Form 1A",'1A'!G83)</f>
        <v>Enter Project Name on Form 1A</v>
      </c>
      <c r="H78" s="1122"/>
      <c r="I78" s="1122"/>
      <c r="J78" s="1122"/>
      <c r="K78" s="1122"/>
      <c r="L78" s="1122"/>
      <c r="M78" s="1122"/>
      <c r="N78" s="1123"/>
      <c r="O78" s="1424"/>
    </row>
    <row r="79" spans="2:15" ht="30" customHeight="1" x14ac:dyDescent="0.25">
      <c r="B79" s="1423"/>
      <c r="C79" s="1436"/>
      <c r="D79" s="1436"/>
      <c r="E79" s="1436"/>
      <c r="F79" s="1436"/>
      <c r="G79" s="1436"/>
      <c r="H79" s="1436"/>
      <c r="I79" s="1436"/>
      <c r="J79" s="1436"/>
      <c r="K79" s="1436"/>
      <c r="L79" s="1436"/>
      <c r="M79" s="1425"/>
      <c r="N79" s="1426" t="s">
        <v>552</v>
      </c>
      <c r="O79" s="1424"/>
    </row>
    <row r="80" spans="2:15" x14ac:dyDescent="0.25">
      <c r="B80" s="1423"/>
      <c r="C80" s="257">
        <v>6</v>
      </c>
      <c r="D80" s="1427" t="s">
        <v>705</v>
      </c>
      <c r="E80" s="1427"/>
      <c r="F80" s="1428"/>
      <c r="G80" s="1429"/>
      <c r="H80" s="1429"/>
      <c r="I80" s="1429"/>
      <c r="J80" s="1429"/>
      <c r="K80" s="1429"/>
      <c r="L80" s="1429"/>
      <c r="M80" s="1430"/>
      <c r="N80" s="1417">
        <v>0</v>
      </c>
      <c r="O80" s="1424"/>
    </row>
    <row r="81" spans="2:15" ht="3.75" customHeight="1" x14ac:dyDescent="0.25">
      <c r="B81" s="1423"/>
      <c r="C81" s="1208"/>
      <c r="D81" s="699"/>
      <c r="E81" s="699"/>
      <c r="F81" s="1209"/>
      <c r="G81" s="699"/>
      <c r="H81" s="699"/>
      <c r="I81" s="699"/>
      <c r="J81" s="699"/>
      <c r="K81" s="699"/>
      <c r="L81" s="699"/>
      <c r="M81" s="1437"/>
      <c r="N81" s="699"/>
      <c r="O81" s="1424"/>
    </row>
    <row r="82" spans="2:15" ht="30" customHeight="1" x14ac:dyDescent="0.25">
      <c r="B82" s="1423"/>
      <c r="C82" s="1208"/>
      <c r="D82" s="2631" t="s">
        <v>620</v>
      </c>
      <c r="E82" s="2631"/>
      <c r="F82" s="2631"/>
      <c r="G82" s="2631"/>
      <c r="H82" s="2631"/>
      <c r="I82" s="2631"/>
      <c r="J82" s="2631"/>
      <c r="K82" s="2631"/>
      <c r="L82" s="2631"/>
      <c r="M82" s="2631"/>
      <c r="N82" s="1209"/>
      <c r="O82" s="1424"/>
    </row>
    <row r="83" spans="2:15" ht="7.5" customHeight="1" x14ac:dyDescent="0.25">
      <c r="B83" s="1423"/>
      <c r="C83" s="1208"/>
      <c r="D83" s="1209"/>
      <c r="E83" s="1209"/>
      <c r="F83" s="1208"/>
      <c r="G83" s="1208"/>
      <c r="H83" s="1208"/>
      <c r="I83" s="1208"/>
      <c r="J83" s="1208"/>
      <c r="K83" s="1208"/>
      <c r="L83" s="1208"/>
      <c r="M83" s="1208"/>
      <c r="N83" s="1208"/>
      <c r="O83" s="1424"/>
    </row>
    <row r="84" spans="2:15" x14ac:dyDescent="0.25">
      <c r="B84" s="1423"/>
      <c r="C84" s="1208"/>
      <c r="D84" s="1208"/>
      <c r="E84" s="1208"/>
      <c r="F84" s="2630" t="s">
        <v>561</v>
      </c>
      <c r="G84" s="2630"/>
      <c r="H84" s="2630"/>
      <c r="I84" s="2630"/>
      <c r="J84" s="2630"/>
      <c r="K84" s="2630"/>
      <c r="L84" s="2630"/>
      <c r="M84" s="2630"/>
      <c r="N84" s="1445"/>
      <c r="O84" s="1424"/>
    </row>
    <row r="85" spans="2:15" ht="7.5" customHeight="1" x14ac:dyDescent="0.25">
      <c r="B85" s="1423"/>
      <c r="C85" s="1208"/>
      <c r="D85" s="1208"/>
      <c r="E85" s="1208"/>
      <c r="F85" s="1445"/>
      <c r="G85" s="1445"/>
      <c r="H85" s="1445"/>
      <c r="I85" s="1445"/>
      <c r="J85" s="1445"/>
      <c r="K85" s="1445"/>
      <c r="L85" s="1445"/>
      <c r="M85" s="1445"/>
      <c r="N85" s="1208"/>
      <c r="O85" s="1424"/>
    </row>
    <row r="86" spans="2:15" x14ac:dyDescent="0.25">
      <c r="B86" s="1423"/>
      <c r="C86" s="1208"/>
      <c r="D86" s="1208"/>
      <c r="E86" s="1208"/>
      <c r="F86" s="1208"/>
      <c r="G86" s="1449" t="s">
        <v>621</v>
      </c>
      <c r="H86" s="1208"/>
      <c r="I86" s="1208"/>
      <c r="J86" s="1208"/>
      <c r="K86" s="1208"/>
      <c r="L86" s="1208"/>
      <c r="M86" s="1208"/>
      <c r="N86" s="1208"/>
      <c r="O86" s="1424"/>
    </row>
    <row r="87" spans="2:15" x14ac:dyDescent="0.25">
      <c r="B87" s="1423"/>
      <c r="C87" s="1208"/>
      <c r="D87" s="1208"/>
      <c r="E87" s="1208"/>
      <c r="F87" s="1208"/>
      <c r="G87" s="1446" t="s">
        <v>622</v>
      </c>
      <c r="H87" s="1208"/>
      <c r="I87" s="1450"/>
      <c r="J87" s="1208"/>
      <c r="K87" s="2635">
        <v>0</v>
      </c>
      <c r="L87" s="2635"/>
      <c r="M87" s="1481"/>
      <c r="N87" s="1208"/>
      <c r="O87" s="1424"/>
    </row>
    <row r="88" spans="2:15" x14ac:dyDescent="0.25">
      <c r="B88" s="1423"/>
      <c r="C88" s="1208"/>
      <c r="D88" s="1208"/>
      <c r="E88" s="1208"/>
      <c r="F88" s="1208"/>
      <c r="G88" s="1477" t="s">
        <v>623</v>
      </c>
      <c r="H88" s="1478"/>
      <c r="I88" s="1479"/>
      <c r="J88" s="1484"/>
      <c r="K88" s="2635">
        <v>0</v>
      </c>
      <c r="L88" s="2635"/>
      <c r="M88" s="1481"/>
      <c r="N88" s="1208"/>
      <c r="O88" s="1424"/>
    </row>
    <row r="89" spans="2:15" x14ac:dyDescent="0.25">
      <c r="B89" s="1423"/>
      <c r="C89" s="1208"/>
      <c r="D89" s="1208"/>
      <c r="E89" s="1208"/>
      <c r="F89" s="1208"/>
      <c r="G89" s="1446" t="s">
        <v>624</v>
      </c>
      <c r="H89" s="1451"/>
      <c r="I89" s="1450"/>
      <c r="J89" s="1208"/>
      <c r="K89" s="2636">
        <f>K87+K88</f>
        <v>0</v>
      </c>
      <c r="L89" s="2636"/>
      <c r="M89" s="1460"/>
      <c r="N89" s="1208"/>
      <c r="O89" s="1424"/>
    </row>
    <row r="90" spans="2:15" ht="7.5" customHeight="1" x14ac:dyDescent="0.25">
      <c r="B90" s="1423"/>
      <c r="C90" s="1208"/>
      <c r="D90" s="1208"/>
      <c r="E90" s="1208"/>
      <c r="F90" s="1208"/>
      <c r="G90" s="1208"/>
      <c r="H90" s="1451"/>
      <c r="I90" s="1450"/>
      <c r="J90" s="1460"/>
      <c r="K90" s="1460"/>
      <c r="L90" s="1460"/>
      <c r="M90" s="1460"/>
      <c r="N90" s="1208"/>
      <c r="O90" s="1424"/>
    </row>
    <row r="91" spans="2:15" x14ac:dyDescent="0.25">
      <c r="B91" s="1423"/>
      <c r="C91" s="1436"/>
      <c r="D91" s="1436"/>
      <c r="E91" s="1436"/>
      <c r="F91" s="1436"/>
      <c r="G91" s="1446" t="s">
        <v>625</v>
      </c>
      <c r="H91" s="1451"/>
      <c r="I91" s="1450"/>
      <c r="J91" s="1460"/>
      <c r="K91" s="2638" t="str">
        <f>IFERROR(K87/K89,"0%")</f>
        <v>0%</v>
      </c>
      <c r="L91" s="2638"/>
      <c r="M91" s="1460"/>
      <c r="N91" s="1436"/>
      <c r="O91" s="1424"/>
    </row>
    <row r="92" spans="2:15" x14ac:dyDescent="0.25">
      <c r="B92" s="1423"/>
      <c r="C92" s="1436"/>
      <c r="D92" s="1436"/>
      <c r="E92" s="1436"/>
      <c r="F92" s="1436"/>
      <c r="G92" s="1436"/>
      <c r="H92" s="1451"/>
      <c r="I92" s="1450"/>
      <c r="J92" s="1460"/>
      <c r="K92" s="1485"/>
      <c r="L92" s="1460"/>
      <c r="M92" s="1460"/>
      <c r="N92" s="1436"/>
      <c r="O92" s="1424"/>
    </row>
    <row r="93" spans="2:15" x14ac:dyDescent="0.25">
      <c r="B93" s="1423"/>
      <c r="C93" s="257">
        <v>7</v>
      </c>
      <c r="D93" s="1427" t="s">
        <v>674</v>
      </c>
      <c r="E93" s="1427"/>
      <c r="F93" s="1428"/>
      <c r="G93" s="1429"/>
      <c r="H93" s="1429"/>
      <c r="I93" s="1429"/>
      <c r="J93" s="1429"/>
      <c r="K93" s="1429"/>
      <c r="L93" s="1429"/>
      <c r="M93" s="1430"/>
      <c r="N93" s="1417">
        <v>8</v>
      </c>
      <c r="O93" s="1424"/>
    </row>
    <row r="94" spans="2:15" ht="3.75" customHeight="1" x14ac:dyDescent="0.25">
      <c r="B94" s="1423"/>
      <c r="C94" s="1208"/>
      <c r="D94" s="699"/>
      <c r="E94" s="699"/>
      <c r="F94" s="1209"/>
      <c r="G94" s="699"/>
      <c r="H94" s="699"/>
      <c r="I94" s="699"/>
      <c r="J94" s="699"/>
      <c r="K94" s="699"/>
      <c r="L94" s="699"/>
      <c r="M94" s="1437"/>
      <c r="N94" s="699"/>
      <c r="O94" s="1424"/>
    </row>
    <row r="95" spans="2:15" x14ac:dyDescent="0.25">
      <c r="B95" s="1423"/>
      <c r="C95" s="1208"/>
      <c r="D95" s="2640" t="s">
        <v>577</v>
      </c>
      <c r="E95" s="2640"/>
      <c r="F95" s="2640"/>
      <c r="G95" s="2640"/>
      <c r="H95" s="2640"/>
      <c r="I95" s="2640"/>
      <c r="J95" s="2640"/>
      <c r="K95" s="2640"/>
      <c r="L95" s="2640"/>
      <c r="M95" s="2640"/>
      <c r="N95" s="1209"/>
      <c r="O95" s="1424"/>
    </row>
    <row r="96" spans="2:15" ht="7.5" customHeight="1" x14ac:dyDescent="0.25">
      <c r="B96" s="1423"/>
      <c r="C96" s="1208"/>
      <c r="D96" s="1208"/>
      <c r="E96" s="1443"/>
      <c r="F96" s="1443"/>
      <c r="G96" s="1443"/>
      <c r="H96" s="1443"/>
      <c r="I96" s="1443"/>
      <c r="J96" s="1443"/>
      <c r="K96" s="1443"/>
      <c r="L96" s="1443"/>
      <c r="M96" s="1443"/>
      <c r="N96" s="1443"/>
      <c r="O96" s="1444"/>
    </row>
    <row r="97" spans="2:15" x14ac:dyDescent="0.25">
      <c r="B97" s="1423"/>
      <c r="C97" s="1208"/>
      <c r="D97" s="1208"/>
      <c r="E97" s="1208"/>
      <c r="F97" s="2637" t="s">
        <v>968</v>
      </c>
      <c r="G97" s="2637"/>
      <c r="H97" s="1123"/>
      <c r="I97" s="1123"/>
      <c r="J97" s="1123"/>
      <c r="K97" s="1123"/>
      <c r="L97" s="1123"/>
      <c r="M97" s="1123"/>
      <c r="N97" s="1123"/>
      <c r="O97" s="1424"/>
    </row>
    <row r="98" spans="2:15" x14ac:dyDescent="0.25">
      <c r="B98" s="1423"/>
      <c r="C98" s="1208"/>
      <c r="D98" s="1208"/>
      <c r="E98" s="1208"/>
      <c r="F98" s="1208"/>
      <c r="G98" s="1208"/>
      <c r="H98" s="1451"/>
      <c r="I98" s="1450"/>
      <c r="J98" s="1486"/>
      <c r="K98" s="1486"/>
      <c r="L98" s="1460"/>
      <c r="M98" s="1460"/>
      <c r="N98" s="1208"/>
      <c r="O98" s="1424"/>
    </row>
    <row r="99" spans="2:15" x14ac:dyDescent="0.25">
      <c r="B99" s="1423"/>
      <c r="C99" s="257">
        <v>8</v>
      </c>
      <c r="D99" s="1427" t="s">
        <v>706</v>
      </c>
      <c r="E99" s="1427"/>
      <c r="F99" s="1428"/>
      <c r="G99" s="1429"/>
      <c r="H99" s="1429"/>
      <c r="I99" s="1429"/>
      <c r="J99" s="1429"/>
      <c r="K99" s="1429"/>
      <c r="L99" s="1429"/>
      <c r="M99" s="1430"/>
      <c r="N99" s="1417">
        <v>0</v>
      </c>
      <c r="O99" s="1424"/>
    </row>
    <row r="100" spans="2:15" ht="3.75" customHeight="1" x14ac:dyDescent="0.25">
      <c r="B100" s="1423"/>
      <c r="C100" s="1208"/>
      <c r="D100" s="699"/>
      <c r="E100" s="699"/>
      <c r="F100" s="1208"/>
      <c r="G100" s="699"/>
      <c r="H100" s="699"/>
      <c r="I100" s="699"/>
      <c r="J100" s="699"/>
      <c r="K100" s="699"/>
      <c r="L100" s="699"/>
      <c r="M100" s="1437"/>
      <c r="N100" s="699"/>
      <c r="O100" s="1424"/>
    </row>
    <row r="101" spans="2:15" x14ac:dyDescent="0.25">
      <c r="B101" s="1423"/>
      <c r="C101" s="1208"/>
      <c r="D101" s="2107" t="s">
        <v>626</v>
      </c>
      <c r="E101" s="2107"/>
      <c r="F101" s="2107"/>
      <c r="G101" s="2107"/>
      <c r="H101" s="2107"/>
      <c r="I101" s="2107"/>
      <c r="J101" s="2107"/>
      <c r="K101" s="2107"/>
      <c r="L101" s="2107"/>
      <c r="M101" s="2107"/>
      <c r="N101" s="1209"/>
      <c r="O101" s="1424"/>
    </row>
    <row r="102" spans="2:15" x14ac:dyDescent="0.25">
      <c r="B102" s="1423"/>
      <c r="C102" s="1208"/>
      <c r="D102" s="1209"/>
      <c r="E102" s="1209"/>
      <c r="F102" s="1445"/>
      <c r="G102" s="1445"/>
      <c r="H102" s="1208"/>
      <c r="I102" s="1445"/>
      <c r="J102" s="1445"/>
      <c r="K102" s="1445"/>
      <c r="L102" s="1445"/>
      <c r="M102" s="1448"/>
      <c r="N102" s="1445"/>
      <c r="O102" s="1424"/>
    </row>
    <row r="103" spans="2:15" x14ac:dyDescent="0.25">
      <c r="B103" s="1423"/>
      <c r="C103" s="257">
        <v>9</v>
      </c>
      <c r="D103" s="1427" t="s">
        <v>707</v>
      </c>
      <c r="E103" s="1427"/>
      <c r="F103" s="1428"/>
      <c r="G103" s="1429"/>
      <c r="H103" s="1429"/>
      <c r="I103" s="1429"/>
      <c r="J103" s="1429"/>
      <c r="K103" s="1429"/>
      <c r="L103" s="1429"/>
      <c r="M103" s="1430"/>
      <c r="N103" s="1417">
        <v>0</v>
      </c>
      <c r="O103" s="1424"/>
    </row>
    <row r="104" spans="2:15" ht="3.75" customHeight="1" x14ac:dyDescent="0.25">
      <c r="B104" s="1423"/>
      <c r="C104" s="1208"/>
      <c r="D104" s="1208"/>
      <c r="E104" s="1208"/>
      <c r="F104" s="1208"/>
      <c r="G104" s="1208"/>
      <c r="H104" s="1208"/>
      <c r="I104" s="1208"/>
      <c r="J104" s="1208"/>
      <c r="K104" s="1208"/>
      <c r="L104" s="1208"/>
      <c r="M104" s="1208"/>
      <c r="N104" s="1208"/>
      <c r="O104" s="1424"/>
    </row>
    <row r="105" spans="2:15" x14ac:dyDescent="0.25">
      <c r="B105" s="1423"/>
      <c r="C105" s="1208"/>
      <c r="D105" s="2107" t="s">
        <v>627</v>
      </c>
      <c r="E105" s="2107"/>
      <c r="F105" s="2107"/>
      <c r="G105" s="2107"/>
      <c r="H105" s="2107"/>
      <c r="I105" s="2107"/>
      <c r="J105" s="2107"/>
      <c r="K105" s="2107"/>
      <c r="L105" s="2107"/>
      <c r="M105" s="2107"/>
      <c r="N105" s="1209"/>
      <c r="O105" s="1424"/>
    </row>
    <row r="106" spans="2:15" x14ac:dyDescent="0.25">
      <c r="B106" s="1423"/>
      <c r="C106" s="1208"/>
      <c r="D106" s="1209"/>
      <c r="E106" s="1209"/>
      <c r="F106" s="1209"/>
      <c r="G106" s="1209"/>
      <c r="H106" s="1209"/>
      <c r="I106" s="1209"/>
      <c r="J106" s="1209"/>
      <c r="K106" s="1209"/>
      <c r="L106" s="1209"/>
      <c r="M106" s="1209"/>
      <c r="N106" s="1209"/>
      <c r="O106" s="1424"/>
    </row>
    <row r="107" spans="2:15" x14ac:dyDescent="0.25">
      <c r="B107" s="1423"/>
      <c r="C107" s="257">
        <v>10</v>
      </c>
      <c r="D107" s="1427" t="s">
        <v>708</v>
      </c>
      <c r="E107" s="1427"/>
      <c r="F107" s="1428"/>
      <c r="G107" s="1429"/>
      <c r="H107" s="1429"/>
      <c r="I107" s="1429"/>
      <c r="J107" s="1429"/>
      <c r="K107" s="1429"/>
      <c r="L107" s="1429"/>
      <c r="M107" s="1430"/>
      <c r="N107" s="1417">
        <v>0</v>
      </c>
      <c r="O107" s="1424"/>
    </row>
    <row r="108" spans="2:15" ht="3.75" customHeight="1" x14ac:dyDescent="0.25">
      <c r="B108" s="1423"/>
      <c r="C108" s="1208"/>
      <c r="D108" s="1208"/>
      <c r="E108" s="1208"/>
      <c r="F108" s="1208"/>
      <c r="G108" s="1208"/>
      <c r="H108" s="1208"/>
      <c r="I108" s="1208"/>
      <c r="J108" s="1208"/>
      <c r="K108" s="1208"/>
      <c r="L108" s="1208"/>
      <c r="M108" s="1208"/>
      <c r="N108" s="1208"/>
      <c r="O108" s="1424"/>
    </row>
    <row r="109" spans="2:15" ht="30" customHeight="1" x14ac:dyDescent="0.25">
      <c r="B109" s="1423"/>
      <c r="C109" s="1208"/>
      <c r="D109" s="2653" t="s">
        <v>628</v>
      </c>
      <c r="E109" s="2653"/>
      <c r="F109" s="2653"/>
      <c r="G109" s="2653"/>
      <c r="H109" s="2653"/>
      <c r="I109" s="2653"/>
      <c r="J109" s="2653"/>
      <c r="K109" s="2653"/>
      <c r="L109" s="2653"/>
      <c r="M109" s="2653"/>
      <c r="N109" s="1209"/>
      <c r="O109" s="1424"/>
    </row>
    <row r="110" spans="2:15" ht="7.5" customHeight="1" x14ac:dyDescent="0.25">
      <c r="B110" s="1423"/>
      <c r="C110" s="1208"/>
      <c r="D110" s="1209"/>
      <c r="E110" s="1209"/>
      <c r="F110" s="1209"/>
      <c r="G110" s="1209"/>
      <c r="H110" s="1209"/>
      <c r="I110" s="1209"/>
      <c r="J110" s="1209"/>
      <c r="K110" s="1209"/>
      <c r="L110" s="1209"/>
      <c r="M110" s="1209"/>
      <c r="N110" s="1209"/>
      <c r="O110" s="1424"/>
    </row>
    <row r="111" spans="2:15" x14ac:dyDescent="0.25">
      <c r="B111" s="1423"/>
      <c r="C111" s="1208"/>
      <c r="D111" s="1208"/>
      <c r="E111" s="1431"/>
      <c r="F111" s="2630"/>
      <c r="G111" s="2630"/>
      <c r="H111" s="2630"/>
      <c r="I111" s="2630"/>
      <c r="J111" s="2630"/>
      <c r="K111" s="2630"/>
      <c r="L111" s="2630"/>
      <c r="M111" s="2630"/>
      <c r="N111" s="1445"/>
      <c r="O111" s="1424"/>
    </row>
    <row r="112" spans="2:15" x14ac:dyDescent="0.25">
      <c r="B112" s="1423"/>
      <c r="C112" s="1208"/>
      <c r="D112" s="1208"/>
      <c r="E112" s="1459"/>
      <c r="F112" s="1208"/>
      <c r="G112" s="1208"/>
      <c r="H112" s="1451"/>
      <c r="I112" s="1450"/>
      <c r="J112" s="1460"/>
      <c r="K112" s="1460"/>
      <c r="L112" s="1460"/>
      <c r="M112" s="1460"/>
      <c r="N112" s="1208"/>
      <c r="O112" s="1424"/>
    </row>
    <row r="113" spans="2:15" x14ac:dyDescent="0.25">
      <c r="B113" s="1423"/>
      <c r="C113" s="257">
        <v>11</v>
      </c>
      <c r="D113" s="1427" t="s">
        <v>698</v>
      </c>
      <c r="E113" s="1427"/>
      <c r="F113" s="1428"/>
      <c r="G113" s="1429"/>
      <c r="H113" s="1429"/>
      <c r="I113" s="1429"/>
      <c r="J113" s="1429"/>
      <c r="K113" s="1429"/>
      <c r="L113" s="1429"/>
      <c r="M113" s="1430"/>
      <c r="N113" s="1417">
        <v>3</v>
      </c>
      <c r="O113" s="1424"/>
    </row>
    <row r="114" spans="2:15" ht="3.75" customHeight="1" x14ac:dyDescent="0.25">
      <c r="B114" s="1423"/>
      <c r="C114" s="1208"/>
      <c r="D114" s="1208"/>
      <c r="E114" s="1208"/>
      <c r="F114" s="1208"/>
      <c r="G114" s="1208"/>
      <c r="H114" s="1208"/>
      <c r="I114" s="1208"/>
      <c r="J114" s="1208"/>
      <c r="K114" s="1208"/>
      <c r="L114" s="1208"/>
      <c r="M114" s="1208"/>
      <c r="N114" s="1208"/>
      <c r="O114" s="1424"/>
    </row>
    <row r="115" spans="2:15" ht="30" customHeight="1" x14ac:dyDescent="0.25">
      <c r="B115" s="1423"/>
      <c r="C115" s="1208"/>
      <c r="D115" s="2631" t="s">
        <v>629</v>
      </c>
      <c r="E115" s="2631"/>
      <c r="F115" s="2631"/>
      <c r="G115" s="2631"/>
      <c r="H115" s="2631"/>
      <c r="I115" s="2631"/>
      <c r="J115" s="2631"/>
      <c r="K115" s="2631"/>
      <c r="L115" s="2631"/>
      <c r="M115" s="2631"/>
      <c r="N115" s="1209"/>
      <c r="O115" s="1424"/>
    </row>
    <row r="116" spans="2:15" ht="7.5" customHeight="1" x14ac:dyDescent="0.25">
      <c r="B116" s="1423"/>
      <c r="C116" s="1208"/>
      <c r="D116" s="1209"/>
      <c r="E116" s="1208"/>
      <c r="F116" s="1208"/>
      <c r="G116" s="1208"/>
      <c r="H116" s="1208"/>
      <c r="I116" s="1208"/>
      <c r="J116" s="1208"/>
      <c r="K116" s="1208"/>
      <c r="L116" s="1208"/>
      <c r="M116" s="1208"/>
      <c r="N116" s="1208"/>
      <c r="O116" s="1424"/>
    </row>
    <row r="117" spans="2:15" x14ac:dyDescent="0.25">
      <c r="B117" s="1423"/>
      <c r="C117" s="1208"/>
      <c r="D117" s="1208"/>
      <c r="E117" s="1208"/>
      <c r="F117" s="2630" t="s">
        <v>1538</v>
      </c>
      <c r="G117" s="2630"/>
      <c r="H117" s="2630"/>
      <c r="I117" s="2630"/>
      <c r="J117" s="2630"/>
      <c r="K117" s="2630"/>
      <c r="L117" s="2630"/>
      <c r="M117" s="2630"/>
      <c r="N117" s="1445"/>
      <c r="O117" s="1424"/>
    </row>
    <row r="118" spans="2:15" ht="15" customHeight="1" x14ac:dyDescent="0.25">
      <c r="B118" s="1423"/>
      <c r="C118" s="1436"/>
      <c r="D118" s="1436"/>
      <c r="E118" s="1436"/>
      <c r="F118" s="1436"/>
      <c r="G118" s="1436"/>
      <c r="H118" s="1436"/>
      <c r="I118" s="1436"/>
      <c r="J118" s="1436"/>
      <c r="K118" s="1436"/>
      <c r="L118" s="1436"/>
      <c r="M118" s="1448"/>
      <c r="N118" s="1445"/>
      <c r="O118" s="1424"/>
    </row>
    <row r="119" spans="2:15" x14ac:dyDescent="0.25">
      <c r="B119" s="1423"/>
      <c r="C119" s="257">
        <v>12</v>
      </c>
      <c r="D119" s="1427" t="s">
        <v>709</v>
      </c>
      <c r="E119" s="1427"/>
      <c r="F119" s="1428"/>
      <c r="G119" s="1429"/>
      <c r="H119" s="1429"/>
      <c r="I119" s="1429"/>
      <c r="J119" s="1429"/>
      <c r="K119" s="1429"/>
      <c r="L119" s="1429"/>
      <c r="M119" s="1430"/>
      <c r="N119" s="1419">
        <v>3</v>
      </c>
      <c r="O119" s="1424"/>
    </row>
    <row r="120" spans="2:15" ht="3.75" customHeight="1" x14ac:dyDescent="0.25">
      <c r="B120" s="1423"/>
      <c r="C120" s="1208"/>
      <c r="D120" s="699"/>
      <c r="E120" s="699"/>
      <c r="F120" s="1209"/>
      <c r="G120" s="699"/>
      <c r="H120" s="699"/>
      <c r="I120" s="699"/>
      <c r="J120" s="699"/>
      <c r="K120" s="699"/>
      <c r="L120" s="699"/>
      <c r="M120" s="1437"/>
      <c r="N120" s="699"/>
      <c r="O120" s="1424"/>
    </row>
    <row r="121" spans="2:15" ht="30" customHeight="1" x14ac:dyDescent="0.25">
      <c r="B121" s="1423"/>
      <c r="C121" s="1208"/>
      <c r="D121" s="2631" t="s">
        <v>630</v>
      </c>
      <c r="E121" s="2631"/>
      <c r="F121" s="2631"/>
      <c r="G121" s="2631"/>
      <c r="H121" s="2631"/>
      <c r="I121" s="2631"/>
      <c r="J121" s="2631"/>
      <c r="K121" s="2631"/>
      <c r="L121" s="2631"/>
      <c r="M121" s="2631"/>
      <c r="N121" s="1209"/>
      <c r="O121" s="1424"/>
    </row>
    <row r="122" spans="2:15" x14ac:dyDescent="0.25">
      <c r="B122" s="1423"/>
      <c r="C122" s="1208"/>
      <c r="D122" s="699"/>
      <c r="E122" s="699"/>
      <c r="F122" s="1445"/>
      <c r="G122" s="1445"/>
      <c r="H122" s="1445"/>
      <c r="I122" s="1445"/>
      <c r="J122" s="1445"/>
      <c r="K122" s="699"/>
      <c r="L122" s="1461"/>
      <c r="M122" s="1437"/>
      <c r="N122" s="699"/>
      <c r="O122" s="1424"/>
    </row>
    <row r="123" spans="2:15" x14ac:dyDescent="0.25">
      <c r="B123" s="1423"/>
      <c r="C123" s="257">
        <v>13</v>
      </c>
      <c r="D123" s="1427" t="s">
        <v>681</v>
      </c>
      <c r="E123" s="1427"/>
      <c r="F123" s="1428"/>
      <c r="G123" s="1429"/>
      <c r="H123" s="1429"/>
      <c r="I123" s="1429"/>
      <c r="J123" s="1429"/>
      <c r="K123" s="1429"/>
      <c r="L123" s="1429"/>
      <c r="M123" s="1430"/>
      <c r="N123" s="1417">
        <v>0</v>
      </c>
      <c r="O123" s="1424"/>
    </row>
    <row r="124" spans="2:15" ht="3.75" customHeight="1" x14ac:dyDescent="0.25">
      <c r="B124" s="1423"/>
      <c r="C124" s="1208"/>
      <c r="D124" s="699"/>
      <c r="E124" s="699"/>
      <c r="F124" s="1209"/>
      <c r="G124" s="699"/>
      <c r="H124" s="699"/>
      <c r="I124" s="699"/>
      <c r="J124" s="699"/>
      <c r="K124" s="699"/>
      <c r="L124" s="699"/>
      <c r="M124" s="1437"/>
      <c r="N124" s="699"/>
      <c r="O124" s="1424"/>
    </row>
    <row r="125" spans="2:15" ht="30" customHeight="1" x14ac:dyDescent="0.25">
      <c r="B125" s="1423"/>
      <c r="C125" s="1208"/>
      <c r="D125" s="2631" t="s">
        <v>631</v>
      </c>
      <c r="E125" s="2631"/>
      <c r="F125" s="2631"/>
      <c r="G125" s="2631"/>
      <c r="H125" s="2631"/>
      <c r="I125" s="2631"/>
      <c r="J125" s="2631"/>
      <c r="K125" s="2631"/>
      <c r="L125" s="2631"/>
      <c r="M125" s="2631"/>
      <c r="N125" s="1209"/>
      <c r="O125" s="1424"/>
    </row>
    <row r="126" spans="2:15" x14ac:dyDescent="0.25">
      <c r="B126" s="1423"/>
      <c r="C126" s="1208"/>
      <c r="D126" s="699"/>
      <c r="E126" s="699"/>
      <c r="F126" s="1445"/>
      <c r="G126" s="1445"/>
      <c r="H126" s="1445"/>
      <c r="I126" s="1445"/>
      <c r="J126" s="1445"/>
      <c r="K126" s="699"/>
      <c r="L126" s="1461"/>
      <c r="M126" s="1437"/>
      <c r="N126" s="699"/>
      <c r="O126" s="1424"/>
    </row>
    <row r="127" spans="2:15" x14ac:dyDescent="0.25">
      <c r="B127" s="1423"/>
      <c r="C127" s="257">
        <v>14</v>
      </c>
      <c r="D127" s="1427" t="s">
        <v>688</v>
      </c>
      <c r="E127" s="1427"/>
      <c r="F127" s="1428"/>
      <c r="G127" s="1429"/>
      <c r="H127" s="1429"/>
      <c r="I127" s="1429"/>
      <c r="J127" s="1429"/>
      <c r="K127" s="1429"/>
      <c r="L127" s="1429"/>
      <c r="M127" s="1430"/>
      <c r="N127" s="1417">
        <v>2</v>
      </c>
      <c r="O127" s="1424"/>
    </row>
    <row r="128" spans="2:15" ht="3.75" customHeight="1" x14ac:dyDescent="0.25">
      <c r="B128" s="1423"/>
      <c r="C128" s="1208"/>
      <c r="D128" s="699"/>
      <c r="E128" s="699"/>
      <c r="F128" s="1209"/>
      <c r="G128" s="699"/>
      <c r="H128" s="699"/>
      <c r="I128" s="699"/>
      <c r="J128" s="699"/>
      <c r="K128" s="699"/>
      <c r="L128" s="699"/>
      <c r="M128" s="1437"/>
      <c r="N128" s="699"/>
      <c r="O128" s="1424"/>
    </row>
    <row r="129" spans="2:15" x14ac:dyDescent="0.25">
      <c r="B129" s="1423"/>
      <c r="C129" s="1208"/>
      <c r="D129" s="2107" t="s">
        <v>632</v>
      </c>
      <c r="E129" s="2107"/>
      <c r="F129" s="2107"/>
      <c r="G129" s="2107"/>
      <c r="H129" s="2107"/>
      <c r="I129" s="2107"/>
      <c r="J129" s="2107"/>
      <c r="K129" s="2107"/>
      <c r="L129" s="2107"/>
      <c r="M129" s="2107"/>
      <c r="N129" s="1209"/>
      <c r="O129" s="1424"/>
    </row>
    <row r="130" spans="2:15" ht="7.5" customHeight="1" x14ac:dyDescent="0.25">
      <c r="B130" s="1423"/>
      <c r="C130" s="1208"/>
      <c r="D130" s="1443"/>
      <c r="E130" s="1443"/>
      <c r="F130" s="1443"/>
      <c r="G130" s="1443"/>
      <c r="H130" s="1443"/>
      <c r="I130" s="1443"/>
      <c r="J130" s="1443"/>
      <c r="K130" s="1443"/>
      <c r="L130" s="1443"/>
      <c r="M130" s="1443"/>
      <c r="N130" s="1443"/>
      <c r="O130" s="1424"/>
    </row>
    <row r="131" spans="2:15" x14ac:dyDescent="0.25">
      <c r="B131" s="1423"/>
      <c r="C131" s="1208"/>
      <c r="D131" s="1208"/>
      <c r="E131" s="1208"/>
      <c r="F131" s="2630" t="s">
        <v>802</v>
      </c>
      <c r="G131" s="2630"/>
      <c r="H131" s="2630"/>
      <c r="I131" s="2630"/>
      <c r="J131" s="2630"/>
      <c r="K131" s="2630"/>
      <c r="L131" s="2630"/>
      <c r="M131" s="2630"/>
      <c r="N131" s="1208"/>
      <c r="O131" s="1424"/>
    </row>
    <row r="132" spans="2:15" x14ac:dyDescent="0.25">
      <c r="B132" s="1423"/>
      <c r="C132" s="1208"/>
      <c r="D132" s="1208"/>
      <c r="E132" s="1208"/>
      <c r="F132" s="1208"/>
      <c r="G132" s="1208"/>
      <c r="H132" s="1445"/>
      <c r="I132" s="1445"/>
      <c r="J132" s="1445"/>
      <c r="K132" s="1445"/>
      <c r="L132" s="1445"/>
      <c r="M132" s="1445"/>
      <c r="N132" s="1208"/>
      <c r="O132" s="1424"/>
    </row>
    <row r="133" spans="2:15" x14ac:dyDescent="0.25">
      <c r="B133" s="1423"/>
      <c r="C133" s="257">
        <v>15</v>
      </c>
      <c r="D133" s="1427" t="s">
        <v>710</v>
      </c>
      <c r="E133" s="1427"/>
      <c r="F133" s="1428"/>
      <c r="G133" s="1429"/>
      <c r="H133" s="1429"/>
      <c r="I133" s="1429"/>
      <c r="J133" s="1429"/>
      <c r="K133" s="1429"/>
      <c r="L133" s="1429"/>
      <c r="M133" s="1430"/>
      <c r="N133" s="1417">
        <v>0</v>
      </c>
      <c r="O133" s="1424"/>
    </row>
    <row r="134" spans="2:15" ht="3.75" customHeight="1" x14ac:dyDescent="0.25">
      <c r="B134" s="1423"/>
      <c r="C134" s="1208"/>
      <c r="D134" s="699"/>
      <c r="E134" s="699"/>
      <c r="F134" s="1209"/>
      <c r="G134" s="699"/>
      <c r="H134" s="699"/>
      <c r="I134" s="699"/>
      <c r="J134" s="699"/>
      <c r="K134" s="699"/>
      <c r="L134" s="699"/>
      <c r="M134" s="1437"/>
      <c r="N134" s="699"/>
      <c r="O134" s="1424"/>
    </row>
    <row r="135" spans="2:15" ht="30" customHeight="1" x14ac:dyDescent="0.25">
      <c r="B135" s="1423"/>
      <c r="C135" s="1208"/>
      <c r="D135" s="2631" t="s">
        <v>633</v>
      </c>
      <c r="E135" s="2631"/>
      <c r="F135" s="2631"/>
      <c r="G135" s="2631"/>
      <c r="H135" s="2631"/>
      <c r="I135" s="2631"/>
      <c r="J135" s="2631"/>
      <c r="K135" s="2631"/>
      <c r="L135" s="2631"/>
      <c r="M135" s="2631"/>
      <c r="N135" s="1209"/>
      <c r="O135" s="1424"/>
    </row>
    <row r="136" spans="2:15" ht="15" customHeight="1" thickBot="1" x14ac:dyDescent="0.3">
      <c r="B136" s="1453"/>
      <c r="C136" s="1487"/>
      <c r="D136" s="1487"/>
      <c r="E136" s="1487"/>
      <c r="F136" s="1487"/>
      <c r="G136" s="1487"/>
      <c r="H136" s="1487"/>
      <c r="I136" s="1487"/>
      <c r="J136" s="1487"/>
      <c r="K136" s="1487"/>
      <c r="L136" s="1487"/>
      <c r="M136" s="1487"/>
      <c r="N136" s="1487"/>
      <c r="O136" s="1458"/>
    </row>
    <row r="137" spans="2:15" ht="9" customHeight="1" x14ac:dyDescent="0.25">
      <c r="B137" s="1420"/>
      <c r="C137" s="1421"/>
      <c r="D137" s="1421"/>
      <c r="E137" s="1421"/>
      <c r="F137" s="1421"/>
      <c r="G137" s="1421"/>
      <c r="H137" s="1421"/>
      <c r="I137" s="1421"/>
      <c r="J137" s="1421"/>
      <c r="K137" s="1421"/>
      <c r="L137" s="1421"/>
      <c r="M137" s="1421"/>
      <c r="N137" s="1421"/>
      <c r="O137" s="1422"/>
    </row>
    <row r="138" spans="2:15" ht="18.75" x14ac:dyDescent="0.3">
      <c r="B138" s="1423"/>
      <c r="C138" s="2225" t="s">
        <v>1073</v>
      </c>
      <c r="D138" s="2225"/>
      <c r="E138" s="2225"/>
      <c r="F138" s="2225"/>
      <c r="G138" s="2225"/>
      <c r="H138" s="2225"/>
      <c r="I138" s="2225"/>
      <c r="J138" s="2225"/>
      <c r="K138" s="2225"/>
      <c r="L138" s="2225"/>
      <c r="M138" s="2225"/>
      <c r="N138" s="1153"/>
      <c r="O138" s="1424"/>
    </row>
    <row r="139" spans="2:15" x14ac:dyDescent="0.25">
      <c r="B139" s="1423"/>
      <c r="C139" s="1470"/>
      <c r="D139" s="1470"/>
      <c r="E139" s="1470"/>
      <c r="F139" s="1470"/>
      <c r="G139" s="1470"/>
      <c r="H139" s="1470"/>
      <c r="I139" s="1470"/>
      <c r="J139" s="1470"/>
      <c r="K139" s="1470"/>
      <c r="L139" s="1470"/>
      <c r="M139" s="1470"/>
      <c r="N139" s="1470"/>
      <c r="O139" s="1424"/>
    </row>
    <row r="140" spans="2:15" x14ac:dyDescent="0.25">
      <c r="B140" s="1423"/>
      <c r="C140" s="821"/>
      <c r="D140" s="1436" t="s">
        <v>1</v>
      </c>
      <c r="E140" s="1123"/>
      <c r="F140" s="1123"/>
      <c r="G140" s="1122" t="str">
        <f>IF('1A'!G145="","Enter Project Name on Form 1A",'1A'!G145)</f>
        <v>Enter Project Name on Form 1A</v>
      </c>
      <c r="H140" s="1122"/>
      <c r="I140" s="1122"/>
      <c r="J140" s="1122"/>
      <c r="K140" s="1122"/>
      <c r="L140" s="1122"/>
      <c r="M140" s="1122"/>
      <c r="N140" s="1123"/>
      <c r="O140" s="1424"/>
    </row>
    <row r="141" spans="2:15" ht="30" customHeight="1" x14ac:dyDescent="0.25">
      <c r="B141" s="1423"/>
      <c r="C141" s="1436"/>
      <c r="D141" s="1436"/>
      <c r="E141" s="1436"/>
      <c r="F141" s="1436"/>
      <c r="G141" s="1436"/>
      <c r="H141" s="1436"/>
      <c r="I141" s="1436"/>
      <c r="J141" s="1436"/>
      <c r="K141" s="1436"/>
      <c r="L141" s="1436"/>
      <c r="M141" s="1425"/>
      <c r="N141" s="1426" t="s">
        <v>552</v>
      </c>
      <c r="O141" s="1424"/>
    </row>
    <row r="142" spans="2:15" x14ac:dyDescent="0.25">
      <c r="B142" s="1423"/>
      <c r="C142" s="1208"/>
      <c r="D142" s="1443"/>
      <c r="E142" s="1443"/>
      <c r="F142" s="1443"/>
      <c r="G142" s="1443"/>
      <c r="H142" s="1443"/>
      <c r="I142" s="1443"/>
      <c r="J142" s="1443"/>
      <c r="K142" s="1443"/>
      <c r="L142" s="1443"/>
      <c r="M142" s="1443"/>
      <c r="N142" s="1443"/>
      <c r="O142" s="1424"/>
    </row>
    <row r="143" spans="2:15" x14ac:dyDescent="0.25">
      <c r="B143" s="1423"/>
      <c r="C143" s="257">
        <v>16</v>
      </c>
      <c r="D143" s="1427" t="s">
        <v>711</v>
      </c>
      <c r="E143" s="1427"/>
      <c r="F143" s="1428"/>
      <c r="G143" s="1429"/>
      <c r="H143" s="1429"/>
      <c r="I143" s="1429"/>
      <c r="J143" s="1429"/>
      <c r="K143" s="1429"/>
      <c r="L143" s="1429"/>
      <c r="M143" s="1430"/>
      <c r="N143" s="1417">
        <v>2</v>
      </c>
      <c r="O143" s="1424"/>
    </row>
    <row r="144" spans="2:15" ht="3.75" customHeight="1" x14ac:dyDescent="0.25">
      <c r="B144" s="1423"/>
      <c r="C144" s="1208"/>
      <c r="D144" s="699"/>
      <c r="E144" s="699"/>
      <c r="F144" s="1209"/>
      <c r="G144" s="699"/>
      <c r="H144" s="699"/>
      <c r="I144" s="699"/>
      <c r="J144" s="699"/>
      <c r="K144" s="699"/>
      <c r="L144" s="699"/>
      <c r="M144" s="1437"/>
      <c r="N144" s="699"/>
      <c r="O144" s="1424"/>
    </row>
    <row r="145" spans="2:15" ht="30" customHeight="1" x14ac:dyDescent="0.25">
      <c r="B145" s="1423"/>
      <c r="C145" s="1208"/>
      <c r="D145" s="2631" t="s">
        <v>634</v>
      </c>
      <c r="E145" s="2631"/>
      <c r="F145" s="2631"/>
      <c r="G145" s="2631"/>
      <c r="H145" s="2631"/>
      <c r="I145" s="2631"/>
      <c r="J145" s="2631"/>
      <c r="K145" s="2631"/>
      <c r="L145" s="2631"/>
      <c r="M145" s="2631"/>
      <c r="N145" s="1209"/>
      <c r="O145" s="1424"/>
    </row>
    <row r="146" spans="2:15" ht="7.5" customHeight="1" x14ac:dyDescent="0.25">
      <c r="B146" s="1423"/>
      <c r="C146" s="1208"/>
      <c r="D146" s="1443"/>
      <c r="E146" s="1443"/>
      <c r="F146" s="1443"/>
      <c r="G146" s="1443"/>
      <c r="H146" s="1443"/>
      <c r="I146" s="1443"/>
      <c r="J146" s="1443"/>
      <c r="K146" s="1443"/>
      <c r="L146" s="1443"/>
      <c r="M146" s="1443"/>
      <c r="N146" s="1443"/>
      <c r="O146" s="1424"/>
    </row>
    <row r="147" spans="2:15" x14ac:dyDescent="0.25">
      <c r="B147" s="1423"/>
      <c r="C147" s="1208"/>
      <c r="D147" s="1208"/>
      <c r="E147" s="1208"/>
      <c r="F147" s="1445"/>
      <c r="G147" s="1473" t="s">
        <v>635</v>
      </c>
      <c r="H147" s="1208"/>
      <c r="I147" s="1445"/>
      <c r="J147" s="1445"/>
      <c r="K147" s="1445"/>
      <c r="L147" s="1445"/>
      <c r="M147" s="1448"/>
      <c r="N147" s="1445"/>
      <c r="O147" s="1424"/>
    </row>
    <row r="148" spans="2:15" x14ac:dyDescent="0.25">
      <c r="B148" s="1423"/>
      <c r="C148" s="1208"/>
      <c r="D148" s="1208"/>
      <c r="E148" s="1208"/>
      <c r="F148" s="1445"/>
      <c r="G148" s="1734"/>
      <c r="H148" s="1445" t="s">
        <v>636</v>
      </c>
      <c r="I148" s="1445"/>
      <c r="J148" s="1445"/>
      <c r="K148" s="1445"/>
      <c r="L148" s="1445"/>
      <c r="M148" s="1448"/>
      <c r="N148" s="1445"/>
      <c r="O148" s="1424"/>
    </row>
    <row r="149" spans="2:15" x14ac:dyDescent="0.25">
      <c r="B149" s="1423"/>
      <c r="C149" s="1208"/>
      <c r="D149" s="1208"/>
      <c r="E149" s="1208"/>
      <c r="F149" s="1445"/>
      <c r="G149" s="1734"/>
      <c r="H149" s="1445" t="s">
        <v>637</v>
      </c>
      <c r="I149" s="1445"/>
      <c r="J149" s="1445"/>
      <c r="K149" s="1445"/>
      <c r="L149" s="1445"/>
      <c r="M149" s="1448"/>
      <c r="N149" s="1445"/>
      <c r="O149" s="1424"/>
    </row>
    <row r="150" spans="2:15" x14ac:dyDescent="0.25">
      <c r="B150" s="1423"/>
      <c r="C150" s="1208"/>
      <c r="D150" s="1208"/>
      <c r="E150" s="1208"/>
      <c r="F150" s="1445"/>
      <c r="G150" s="1734" t="s">
        <v>1441</v>
      </c>
      <c r="H150" s="1445" t="s">
        <v>638</v>
      </c>
      <c r="I150" s="1445"/>
      <c r="J150" s="1445"/>
      <c r="K150" s="1445"/>
      <c r="L150" s="1445"/>
      <c r="M150" s="1448"/>
      <c r="N150" s="1445"/>
      <c r="O150" s="1424"/>
    </row>
    <row r="151" spans="2:15" x14ac:dyDescent="0.25">
      <c r="B151" s="1423"/>
      <c r="C151" s="1208"/>
      <c r="D151" s="1208"/>
      <c r="E151" s="1208"/>
      <c r="F151" s="1445"/>
      <c r="G151" s="1734" t="s">
        <v>1441</v>
      </c>
      <c r="H151" s="1436" t="s">
        <v>639</v>
      </c>
      <c r="I151" s="1445"/>
      <c r="J151" s="1445"/>
      <c r="K151" s="1445"/>
      <c r="L151" s="1445"/>
      <c r="M151" s="1448"/>
      <c r="N151" s="1445"/>
      <c r="O151" s="1424"/>
    </row>
    <row r="152" spans="2:15" ht="7.5" customHeight="1" thickBot="1" x14ac:dyDescent="0.3">
      <c r="B152" s="1423"/>
      <c r="C152" s="1208"/>
      <c r="D152" s="1208"/>
      <c r="E152" s="1208"/>
      <c r="F152" s="1464"/>
      <c r="G152" s="1488"/>
      <c r="H152" s="1488"/>
      <c r="I152" s="1488"/>
      <c r="J152" s="1488"/>
      <c r="K152" s="1488"/>
      <c r="L152" s="1488"/>
      <c r="M152" s="1208"/>
      <c r="N152" s="1208"/>
      <c r="O152" s="1424"/>
    </row>
    <row r="153" spans="2:15" ht="17.25" thickTop="1" thickBot="1" x14ac:dyDescent="0.3">
      <c r="B153" s="1423"/>
      <c r="C153" s="1489"/>
      <c r="D153" s="2642" t="s">
        <v>640</v>
      </c>
      <c r="E153" s="2643"/>
      <c r="F153" s="2643"/>
      <c r="G153" s="2643"/>
      <c r="H153" s="2643"/>
      <c r="I153" s="2643"/>
      <c r="J153" s="2643"/>
      <c r="K153" s="2643"/>
      <c r="L153" s="2643"/>
      <c r="M153" s="2644"/>
      <c r="N153" s="1490">
        <f>N18+N24+N30+N53+N64+N80+N93+N99+N103+N107+N113+N119+N123+N127+N133+N143</f>
        <v>43</v>
      </c>
      <c r="O153" s="1424"/>
    </row>
    <row r="154" spans="2:15" ht="9" customHeight="1" thickBot="1" x14ac:dyDescent="0.3">
      <c r="B154" s="1453"/>
      <c r="C154" s="1454"/>
      <c r="D154" s="1454"/>
      <c r="E154" s="1454"/>
      <c r="F154" s="1454"/>
      <c r="G154" s="1454"/>
      <c r="H154" s="1454"/>
      <c r="I154" s="1454"/>
      <c r="J154" s="1454"/>
      <c r="K154" s="1454"/>
      <c r="L154" s="1454"/>
      <c r="M154" s="1454"/>
      <c r="N154" s="1454"/>
      <c r="O154" s="1458"/>
    </row>
  </sheetData>
  <sheetProtection password="9F6B" sheet="1" objects="1" scenarios="1" formatCells="0" formatColumns="0" formatRows="0"/>
  <mergeCells count="38">
    <mergeCell ref="D135:M135"/>
    <mergeCell ref="D145:M145"/>
    <mergeCell ref="D55:M55"/>
    <mergeCell ref="D66:M66"/>
    <mergeCell ref="D82:M82"/>
    <mergeCell ref="D95:M95"/>
    <mergeCell ref="D101:M101"/>
    <mergeCell ref="F131:M131"/>
    <mergeCell ref="K91:L91"/>
    <mergeCell ref="F97:G97"/>
    <mergeCell ref="F111:M111"/>
    <mergeCell ref="F117:M117"/>
    <mergeCell ref="D105:M105"/>
    <mergeCell ref="D129:M129"/>
    <mergeCell ref="D109:M109"/>
    <mergeCell ref="D115:M115"/>
    <mergeCell ref="J72:K72"/>
    <mergeCell ref="J73:K73"/>
    <mergeCell ref="F84:M84"/>
    <mergeCell ref="K87:L87"/>
    <mergeCell ref="K88:L88"/>
    <mergeCell ref="C76:M76"/>
    <mergeCell ref="D153:M153"/>
    <mergeCell ref="C138:M138"/>
    <mergeCell ref="F44:M44"/>
    <mergeCell ref="D20:M20"/>
    <mergeCell ref="D26:M26"/>
    <mergeCell ref="D32:M32"/>
    <mergeCell ref="F40:M40"/>
    <mergeCell ref="F22:M22"/>
    <mergeCell ref="F28:G28"/>
    <mergeCell ref="F36:M36"/>
    <mergeCell ref="D121:M121"/>
    <mergeCell ref="D125:M125"/>
    <mergeCell ref="K89:L89"/>
    <mergeCell ref="F57:M57"/>
    <mergeCell ref="F68:M68"/>
    <mergeCell ref="J71:K71"/>
  </mergeCells>
  <conditionalFormatting sqref="G148:G151">
    <cfRule type="cellIs" dxfId="0" priority="1" operator="equal">
      <formula>"X"</formula>
    </cfRule>
  </conditionalFormatting>
  <dataValidations count="13">
    <dataValidation type="list" allowBlank="1" showInputMessage="1" showErrorMessage="1" sqref="F22:M22">
      <formula1>LIH_Commit</formula1>
    </dataValidation>
    <dataValidation type="list" allowBlank="1" showInputMessage="1" showErrorMessage="1" sqref="F28:G28">
      <formula1>Years</formula1>
    </dataValidation>
    <dataValidation type="list" allowBlank="1" showInputMessage="1" showErrorMessage="1" sqref="F36:M36">
      <formula1>PriorityPopulations10</formula1>
    </dataValidation>
    <dataValidation type="list" allowBlank="1" showInputMessage="1" showErrorMessage="1" sqref="F40:M40">
      <formula1>PriorityPopulations20</formula1>
    </dataValidation>
    <dataValidation type="list" allowBlank="1" showInputMessage="1" showErrorMessage="1" sqref="F44:M44">
      <formula1>senior_housing_10</formula1>
    </dataValidation>
    <dataValidation type="list" allowBlank="1" showInputMessage="1" showErrorMessage="1" sqref="G47:G51 G148:G151">
      <formula1>"X"</formula1>
    </dataValidation>
    <dataValidation type="list" allowBlank="1" showInputMessage="1" showErrorMessage="1" sqref="F57:M57">
      <formula1>Project_Based_Rental_Assistance</formula1>
    </dataValidation>
    <dataValidation type="list" allowBlank="1" showInputMessage="1" showErrorMessage="1" sqref="F68:M68">
      <formula1>leveraging_public_resources_10</formula1>
    </dataValidation>
    <dataValidation type="list" allowBlank="1" showInputMessage="1" showErrorMessage="1" sqref="F84:M84">
      <formula1>leveraging_taxable_bonds_7</formula1>
    </dataValidation>
    <dataValidation type="list" allowBlank="1" showInputMessage="1" showErrorMessage="1" sqref="F97:G97">
      <formula1>DevFees</formula1>
    </dataValidation>
    <dataValidation type="list" allowBlank="1" showInputMessage="1" showErrorMessage="1" sqref="F111:M111">
      <formula1>property_type_10</formula1>
    </dataValidation>
    <dataValidation type="list" allowBlank="1" showInputMessage="1" showErrorMessage="1" sqref="F117:M117">
      <formula1>Location_eff</formula1>
    </dataValidation>
    <dataValidation type="list" allowBlank="1" showInputMessage="1" showErrorMessage="1" sqref="F131:M131">
      <formula1>NP_Sponsor_4_Perc</formula1>
    </dataValidation>
  </dataValidations>
  <pageMargins left="0.7" right="0.7" top="0.75" bottom="0.75" header="0.3" footer="0.3"/>
  <pageSetup scale="81" fitToHeight="3" orientation="portrait" r:id="rId1"/>
  <headerFooter>
    <oddFooter>&amp;LForm 11B
4%/Bond LIHTC Scoring Synopsis&amp;CCFA Forms&amp;REdition: 2015
Version: 1.1</oddFooter>
  </headerFooter>
  <rowBreaks count="2" manualBreakCount="2">
    <brk id="74" min="1" max="14" man="1"/>
    <brk id="136" min="1" max="14"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Q3"/>
  <sheetViews>
    <sheetView workbookViewId="0">
      <selection activeCell="C2" sqref="C2"/>
    </sheetView>
  </sheetViews>
  <sheetFormatPr defaultRowHeight="15" x14ac:dyDescent="0.25"/>
  <cols>
    <col min="1" max="1" width="15.28515625" bestFit="1" customWidth="1"/>
    <col min="2" max="2" width="23.5703125" bestFit="1" customWidth="1"/>
    <col min="3" max="3" width="13.140625" bestFit="1" customWidth="1"/>
    <col min="4" max="5" width="8.42578125" bestFit="1" customWidth="1"/>
    <col min="6" max="6" width="10.85546875" bestFit="1" customWidth="1"/>
    <col min="7" max="7" width="10.7109375" bestFit="1" customWidth="1"/>
    <col min="8" max="8" width="7.42578125" bestFit="1" customWidth="1"/>
    <col min="9" max="9" width="12.42578125" bestFit="1" customWidth="1"/>
    <col min="10" max="10" width="7.5703125" bestFit="1" customWidth="1"/>
    <col min="11" max="11" width="10.5703125" bestFit="1" customWidth="1"/>
    <col min="12" max="12" width="8" bestFit="1" customWidth="1"/>
    <col min="13" max="13" width="6.42578125" bestFit="1" customWidth="1"/>
    <col min="14" max="17" width="4.5703125" bestFit="1" customWidth="1"/>
    <col min="18" max="18" width="7.28515625" bestFit="1" customWidth="1"/>
    <col min="19" max="19" width="4.85546875" bestFit="1" customWidth="1"/>
    <col min="20" max="20" width="4" bestFit="1" customWidth="1"/>
    <col min="21" max="21" width="11.140625" bestFit="1" customWidth="1"/>
    <col min="22" max="26" width="4.7109375" bestFit="1" customWidth="1"/>
    <col min="27" max="27" width="5.28515625" bestFit="1" customWidth="1"/>
    <col min="28" max="28" width="6.7109375" bestFit="1" customWidth="1"/>
    <col min="29" max="33" width="4.7109375" bestFit="1" customWidth="1"/>
    <col min="34" max="34" width="5.28515625" bestFit="1" customWidth="1"/>
    <col min="35" max="35" width="9.42578125" bestFit="1" customWidth="1"/>
    <col min="36" max="36" width="13.28515625" bestFit="1" customWidth="1"/>
    <col min="37" max="44" width="4.42578125" bestFit="1" customWidth="1"/>
    <col min="45" max="45" width="11.28515625" bestFit="1" customWidth="1"/>
    <col min="46" max="46" width="7.85546875" bestFit="1" customWidth="1"/>
    <col min="47" max="47" width="15.28515625" bestFit="1" customWidth="1"/>
    <col min="48" max="48" width="16.140625" bestFit="1" customWidth="1"/>
    <col min="49" max="49" width="7.42578125" bestFit="1" customWidth="1"/>
    <col min="50" max="50" width="7.5703125" bestFit="1" customWidth="1"/>
    <col min="51" max="51" width="12.5703125" bestFit="1" customWidth="1"/>
    <col min="52" max="52" width="14.85546875" bestFit="1" customWidth="1"/>
    <col min="53" max="53" width="10.7109375" bestFit="1" customWidth="1"/>
    <col min="54" max="54" width="12.85546875" bestFit="1" customWidth="1"/>
    <col min="55" max="55" width="10.140625" bestFit="1" customWidth="1"/>
    <col min="56" max="56" width="10.28515625" bestFit="1" customWidth="1"/>
    <col min="57" max="57" width="11.140625" bestFit="1" customWidth="1"/>
    <col min="58" max="58" width="12" bestFit="1" customWidth="1"/>
    <col min="59" max="59" width="11" bestFit="1" customWidth="1"/>
    <col min="60" max="60" width="11.85546875" bestFit="1" customWidth="1"/>
    <col min="61" max="61" width="10.140625" bestFit="1" customWidth="1"/>
    <col min="62" max="62" width="10.28515625" bestFit="1" customWidth="1"/>
    <col min="63" max="63" width="11" bestFit="1" customWidth="1"/>
    <col min="64" max="64" width="11.140625" bestFit="1" customWidth="1"/>
    <col min="65" max="65" width="4.42578125" bestFit="1" customWidth="1"/>
    <col min="66" max="66" width="4.5703125" bestFit="1" customWidth="1"/>
    <col min="67" max="67" width="10.5703125" bestFit="1" customWidth="1"/>
    <col min="68" max="68" width="11.85546875" bestFit="1" customWidth="1"/>
    <col min="69" max="69" width="11.85546875" style="1744" customWidth="1"/>
    <col min="70" max="70" width="4.5703125" bestFit="1" customWidth="1"/>
    <col min="71" max="71" width="7.7109375" style="1744" bestFit="1" customWidth="1"/>
    <col min="72" max="73" width="11.42578125" bestFit="1" customWidth="1"/>
    <col min="74" max="74" width="7.42578125" bestFit="1" customWidth="1"/>
    <col min="75" max="75" width="10.42578125" bestFit="1" customWidth="1"/>
    <col min="76" max="76" width="14.28515625" bestFit="1" customWidth="1"/>
    <col min="77" max="77" width="10.85546875" bestFit="1" customWidth="1"/>
    <col min="78" max="78" width="9.42578125" bestFit="1" customWidth="1"/>
    <col min="79" max="79" width="11" bestFit="1" customWidth="1"/>
    <col min="80" max="80" width="13.85546875" customWidth="1"/>
    <col min="81" max="81" width="11.140625" bestFit="1" customWidth="1"/>
    <col min="82" max="82" width="9.85546875" bestFit="1" customWidth="1"/>
    <col min="83" max="83" width="9" bestFit="1" customWidth="1"/>
    <col min="84" max="84" width="12.7109375" bestFit="1" customWidth="1"/>
    <col min="85" max="85" width="13.140625" bestFit="1" customWidth="1"/>
    <col min="86" max="86" width="22.140625" bestFit="1" customWidth="1"/>
    <col min="87" max="87" width="11.140625" bestFit="1" customWidth="1"/>
    <col min="88" max="90" width="8.85546875" bestFit="1" customWidth="1"/>
    <col min="91" max="91" width="16.85546875" bestFit="1" customWidth="1"/>
    <col min="92" max="94" width="13.140625" bestFit="1" customWidth="1"/>
    <col min="95" max="95" width="8.28515625" bestFit="1" customWidth="1"/>
  </cols>
  <sheetData>
    <row r="1" spans="1:95" ht="31.5" x14ac:dyDescent="0.35">
      <c r="A1" s="1745" t="s">
        <v>1262</v>
      </c>
      <c r="B1" s="1745" t="s">
        <v>495</v>
      </c>
      <c r="C1" s="1745" t="s">
        <v>59</v>
      </c>
      <c r="D1" s="1745" t="s">
        <v>1263</v>
      </c>
      <c r="E1" s="1745" t="s">
        <v>1264</v>
      </c>
      <c r="F1" s="1745" t="s">
        <v>1265</v>
      </c>
      <c r="G1" s="1745" t="s">
        <v>1266</v>
      </c>
      <c r="H1" s="1745" t="s">
        <v>1267</v>
      </c>
      <c r="I1" s="1745" t="s">
        <v>535</v>
      </c>
      <c r="J1" s="1745" t="s">
        <v>1268</v>
      </c>
      <c r="K1" s="1746" t="s">
        <v>1269</v>
      </c>
      <c r="L1" s="1746" t="s">
        <v>1270</v>
      </c>
      <c r="M1" s="1746" t="s">
        <v>1271</v>
      </c>
      <c r="N1" s="1750">
        <v>0.3</v>
      </c>
      <c r="O1" s="1751">
        <v>0.4</v>
      </c>
      <c r="P1" s="1751">
        <v>0.5</v>
      </c>
      <c r="Q1" s="1751">
        <v>0.6</v>
      </c>
      <c r="R1" s="1751" t="s">
        <v>1337</v>
      </c>
      <c r="S1" s="1746" t="s">
        <v>1272</v>
      </c>
      <c r="T1" s="1746" t="s">
        <v>1273</v>
      </c>
      <c r="U1" s="1746" t="s">
        <v>1338</v>
      </c>
      <c r="V1" s="1746" t="s">
        <v>1274</v>
      </c>
      <c r="W1" s="1746" t="s">
        <v>1275</v>
      </c>
      <c r="X1" s="1746" t="s">
        <v>1276</v>
      </c>
      <c r="Y1" s="1746" t="s">
        <v>1277</v>
      </c>
      <c r="Z1" s="1746" t="s">
        <v>1278</v>
      </c>
      <c r="AA1" s="1746" t="s">
        <v>37</v>
      </c>
      <c r="AB1" s="1748" t="s">
        <v>1339</v>
      </c>
      <c r="AC1" s="1748" t="s">
        <v>1274</v>
      </c>
      <c r="AD1" s="1748" t="s">
        <v>1275</v>
      </c>
      <c r="AE1" s="1748" t="s">
        <v>1276</v>
      </c>
      <c r="AF1" s="1748" t="s">
        <v>1277</v>
      </c>
      <c r="AG1" s="1748" t="s">
        <v>1278</v>
      </c>
      <c r="AH1" s="1748" t="s">
        <v>37</v>
      </c>
      <c r="AI1" s="1758" t="s">
        <v>1279</v>
      </c>
      <c r="AJ1" s="1758" t="s">
        <v>1280</v>
      </c>
      <c r="AK1" s="1747" t="s">
        <v>1281</v>
      </c>
      <c r="AL1" s="1747" t="s">
        <v>1282</v>
      </c>
      <c r="AM1" s="1747" t="s">
        <v>1283</v>
      </c>
      <c r="AN1" s="1747" t="s">
        <v>1284</v>
      </c>
      <c r="AO1" s="1747" t="s">
        <v>1285</v>
      </c>
      <c r="AP1" s="1747" t="s">
        <v>1286</v>
      </c>
      <c r="AQ1" s="1747" t="s">
        <v>1287</v>
      </c>
      <c r="AR1" s="1747" t="s">
        <v>1288</v>
      </c>
      <c r="AS1" s="1745" t="s">
        <v>1289</v>
      </c>
      <c r="AT1" s="1745" t="s">
        <v>1290</v>
      </c>
      <c r="AU1" s="1745" t="s">
        <v>1291</v>
      </c>
      <c r="AV1" s="1745" t="s">
        <v>1292</v>
      </c>
      <c r="AW1" s="1756" t="s">
        <v>1293</v>
      </c>
      <c r="AX1" s="1756" t="s">
        <v>1294</v>
      </c>
      <c r="AY1" s="1756" t="s">
        <v>1295</v>
      </c>
      <c r="AZ1" s="1756" t="s">
        <v>1296</v>
      </c>
      <c r="BA1" s="1756" t="s">
        <v>1297</v>
      </c>
      <c r="BB1" s="1756" t="s">
        <v>1298</v>
      </c>
      <c r="BC1" s="1756" t="s">
        <v>1299</v>
      </c>
      <c r="BD1" s="1756" t="s">
        <v>1300</v>
      </c>
      <c r="BE1" s="1756" t="s">
        <v>1301</v>
      </c>
      <c r="BF1" s="1756" t="s">
        <v>1302</v>
      </c>
      <c r="BG1" s="1756" t="s">
        <v>1303</v>
      </c>
      <c r="BH1" s="1756" t="s">
        <v>1304</v>
      </c>
      <c r="BI1" s="1756" t="s">
        <v>1305</v>
      </c>
      <c r="BJ1" s="1756" t="s">
        <v>1306</v>
      </c>
      <c r="BK1" s="1756" t="s">
        <v>1307</v>
      </c>
      <c r="BL1" s="1756" t="s">
        <v>1308</v>
      </c>
      <c r="BM1" s="1756" t="s">
        <v>1309</v>
      </c>
      <c r="BN1" s="1756" t="s">
        <v>1310</v>
      </c>
      <c r="BO1" s="1745" t="s">
        <v>1311</v>
      </c>
      <c r="BP1" s="1746" t="s">
        <v>1340</v>
      </c>
      <c r="BQ1" s="1746" t="s">
        <v>1341</v>
      </c>
      <c r="BR1" s="1753" t="s">
        <v>1312</v>
      </c>
      <c r="BS1" s="1753" t="s">
        <v>1342</v>
      </c>
      <c r="BT1" s="1755" t="s">
        <v>1313</v>
      </c>
      <c r="BU1" s="1747" t="s">
        <v>1314</v>
      </c>
      <c r="BV1" s="1747" t="s">
        <v>936</v>
      </c>
      <c r="BW1" s="1747" t="s">
        <v>1315</v>
      </c>
      <c r="BX1" s="1747" t="s">
        <v>1316</v>
      </c>
      <c r="BY1" s="1747" t="s">
        <v>1317</v>
      </c>
      <c r="BZ1" s="1747" t="s">
        <v>1318</v>
      </c>
      <c r="CA1" s="1747" t="s">
        <v>1319</v>
      </c>
      <c r="CB1" s="1757" t="s">
        <v>1320</v>
      </c>
      <c r="CC1" s="1747" t="s">
        <v>1321</v>
      </c>
      <c r="CD1" s="1747" t="s">
        <v>1322</v>
      </c>
      <c r="CE1" s="1747" t="s">
        <v>1323</v>
      </c>
      <c r="CF1" s="1756" t="s">
        <v>1324</v>
      </c>
      <c r="CG1" s="1756" t="s">
        <v>1325</v>
      </c>
      <c r="CH1" s="1756" t="s">
        <v>1326</v>
      </c>
      <c r="CI1" s="1756" t="s">
        <v>1327</v>
      </c>
      <c r="CJ1" s="1756" t="s">
        <v>1328</v>
      </c>
      <c r="CK1" s="1756" t="s">
        <v>1329</v>
      </c>
      <c r="CL1" s="1756" t="s">
        <v>1330</v>
      </c>
      <c r="CM1" s="1758" t="s">
        <v>1331</v>
      </c>
      <c r="CN1" s="1747" t="s">
        <v>1332</v>
      </c>
      <c r="CO1" s="1747" t="s">
        <v>1333</v>
      </c>
      <c r="CP1" s="1747" t="s">
        <v>1334</v>
      </c>
      <c r="CQ1" s="1745" t="s">
        <v>1335</v>
      </c>
    </row>
    <row r="2" spans="1:95" x14ac:dyDescent="0.25">
      <c r="A2" s="1744" t="str">
        <f>IF('1A'!G8="","",'1A'!G8)</f>
        <v>Bellwether Housing</v>
      </c>
      <c r="B2" s="1744" t="str">
        <f>IF('1A'!G15="","n/a",'1A'!G15)</f>
        <v>N/A</v>
      </c>
      <c r="C2" s="1744" t="str">
        <f>'1A'!G5</f>
        <v>University District Apartments</v>
      </c>
      <c r="D2" s="1744" t="str">
        <f>'1A'!G33</f>
        <v>Seattle</v>
      </c>
      <c r="E2" s="1744" t="str">
        <f>'1A'!J33</f>
        <v>King</v>
      </c>
      <c r="F2" s="1754"/>
      <c r="G2" s="1744" t="str">
        <f>'1A'!G35</f>
        <v>43rd District</v>
      </c>
      <c r="H2" s="1744" t="s">
        <v>1336</v>
      </c>
      <c r="I2" s="1754"/>
      <c r="J2" s="1754"/>
      <c r="K2" s="1754"/>
      <c r="L2" s="1754"/>
      <c r="M2" s="1744">
        <f>'1B - 4%'!L23</f>
        <v>80</v>
      </c>
      <c r="N2" s="1744">
        <f>'1B - 4%'!L10+'1B - 4%'!L11</f>
        <v>0</v>
      </c>
      <c r="O2" s="1744">
        <f>'1B - 4%'!L12+'1B - 4%'!L13</f>
        <v>0</v>
      </c>
      <c r="P2" s="1744">
        <f>'1B - 4%'!L14+'1B - 4%'!L15</f>
        <v>0</v>
      </c>
      <c r="Q2" s="1744">
        <f>'1B - 4%'!L16+'1B - 4%'!L17</f>
        <v>79</v>
      </c>
      <c r="R2" s="1744">
        <f>'1B - 4%'!L18+'1B - 4%'!L19</f>
        <v>0</v>
      </c>
      <c r="S2" s="1744">
        <f>'1B - 4%'!L22</f>
        <v>1</v>
      </c>
      <c r="T2" s="1744">
        <f>'1B - 4%'!L21</f>
        <v>0</v>
      </c>
      <c r="U2" s="1744">
        <f>'1B - 4%'!E23+'1B - 4%'!F23</f>
        <v>12</v>
      </c>
      <c r="V2" s="1744">
        <f>'1B - 4%'!G23</f>
        <v>35</v>
      </c>
      <c r="W2" s="1744">
        <f>'1B - 4%'!H23</f>
        <v>21</v>
      </c>
      <c r="X2" s="1744">
        <f>'1B - 4%'!I23</f>
        <v>12</v>
      </c>
      <c r="Y2" s="1744">
        <f>'1B - 4%'!J23</f>
        <v>0</v>
      </c>
      <c r="Z2" s="1744">
        <f>'1B - 4%'!K23</f>
        <v>0</v>
      </c>
      <c r="AA2" s="1744">
        <f>'1B - 4%'!D23</f>
        <v>0</v>
      </c>
      <c r="AB2" s="1744">
        <f>'1B - 4%'!E26+'1B - 4%'!F26</f>
        <v>407</v>
      </c>
      <c r="AC2" s="1744">
        <f>'1B - 4%'!G26</f>
        <v>519</v>
      </c>
      <c r="AD2" s="1744">
        <f>'1B - 4%'!H26</f>
        <v>817</v>
      </c>
      <c r="AE2" s="1744">
        <f>'1B - 4%'!I26</f>
        <v>1085</v>
      </c>
      <c r="AF2" s="1744">
        <f>'1B - 4%'!J26</f>
        <v>0</v>
      </c>
      <c r="AG2" s="1744">
        <f>'1B - 4%'!K26</f>
        <v>0</v>
      </c>
      <c r="AH2" s="1744">
        <f>'1B - 4%'!D26</f>
        <v>0</v>
      </c>
      <c r="AI2" s="1743">
        <f>'2B- 4%'!K36</f>
        <v>76298.003349999999</v>
      </c>
      <c r="AJ2" s="1743">
        <f>'2B- 4%'!N36</f>
        <v>0</v>
      </c>
      <c r="AK2" s="1744" t="e">
        <f>#REF!</f>
        <v>#REF!</v>
      </c>
      <c r="AL2" s="1744" t="e">
        <f>#REF!</f>
        <v>#REF!</v>
      </c>
      <c r="AM2" s="1744" t="e">
        <f>#REF!</f>
        <v>#REF!</v>
      </c>
      <c r="AN2" s="1744" t="e">
        <f>#REF!</f>
        <v>#REF!</v>
      </c>
      <c r="AO2" s="1744" t="e">
        <f>#REF!</f>
        <v>#REF!</v>
      </c>
      <c r="AP2" s="1744" t="e">
        <f>#REF!</f>
        <v>#REF!</v>
      </c>
      <c r="AQ2" s="1744" t="e">
        <f>#REF!</f>
        <v>#REF!</v>
      </c>
      <c r="AR2" s="1744" t="e">
        <f>#REF!</f>
        <v>#REF!</v>
      </c>
      <c r="AS2" s="1754"/>
      <c r="AT2" s="1744">
        <f>'5'!F55</f>
        <v>42614</v>
      </c>
      <c r="AU2" s="1744">
        <f>'5'!F66</f>
        <v>42644</v>
      </c>
      <c r="AV2" s="1744">
        <f>'5'!F67</f>
        <v>43101</v>
      </c>
      <c r="AW2" s="1759">
        <f>'6A - 4%'!J20</f>
        <v>2360055</v>
      </c>
      <c r="AX2" s="1759">
        <f>'6A - 4%'!K20</f>
        <v>2360055</v>
      </c>
      <c r="AY2" s="1759">
        <f>'6A - 4%'!J34</f>
        <v>705488</v>
      </c>
      <c r="AZ2" s="1759">
        <f>'6A - 4%'!J35</f>
        <v>0</v>
      </c>
      <c r="BA2" s="1754"/>
      <c r="BB2" s="1754"/>
      <c r="BC2" s="1759">
        <f>'6A - 4%'!J45</f>
        <v>14815254</v>
      </c>
      <c r="BD2" s="1759">
        <f>'6A - 4%'!K45</f>
        <v>14815254</v>
      </c>
      <c r="BE2" s="1759">
        <f>'6A - 4%'!J56</f>
        <v>2132489</v>
      </c>
      <c r="BF2" s="1759">
        <f>'6A - 4%'!J57</f>
        <v>141603</v>
      </c>
      <c r="BG2" s="1754"/>
      <c r="BH2" s="1754"/>
      <c r="BI2" s="1759">
        <f>'6A - 4%'!J88</f>
        <v>445000</v>
      </c>
      <c r="BJ2" s="1759">
        <f>'6A - 4%'!K88</f>
        <v>445000</v>
      </c>
      <c r="BK2" s="1759">
        <f>'6A - 4%'!J89</f>
        <v>28000</v>
      </c>
      <c r="BL2" s="1759">
        <f>'6A - 4%'!K89</f>
        <v>28000</v>
      </c>
      <c r="BM2" s="1759">
        <f>'6A - 4%'!J118</f>
        <v>23156305</v>
      </c>
      <c r="BN2" s="1759">
        <f>'6A - 4%'!K118</f>
        <v>23156305</v>
      </c>
      <c r="BO2" s="1754"/>
      <c r="BP2" s="1744">
        <f>'11A - 9%'!N162</f>
        <v>157</v>
      </c>
      <c r="BQ2" s="1744">
        <f>'11B- 4%'!N153</f>
        <v>43</v>
      </c>
      <c r="BR2" s="1752">
        <f>IF((BP2+BQ2)=0,"n/a",'6D- 4%'!G42)</f>
        <v>1.03</v>
      </c>
      <c r="BS2" s="1752" t="str">
        <f>IF('7A - 4%'!F20=0,"n/a","YES")</f>
        <v>YES</v>
      </c>
      <c r="BT2" s="1754"/>
      <c r="BU2" s="1749">
        <f>'7A - 4%'!F34</f>
        <v>8336272</v>
      </c>
      <c r="BV2" s="1754"/>
      <c r="BW2" s="1749">
        <f>'7A - 4%'!F36</f>
        <v>23156305</v>
      </c>
      <c r="BX2" s="1749">
        <f>'7A - 4%'!F44</f>
        <v>0</v>
      </c>
      <c r="BY2" s="1749">
        <f>'7A - 4%'!E30+'7A - 4%'!E42</f>
        <v>14820033</v>
      </c>
      <c r="BZ2" s="1749">
        <f>'7A - 4%'!F30+'7A - 4%'!F42</f>
        <v>0</v>
      </c>
      <c r="CA2" s="1754"/>
      <c r="CB2" s="1760">
        <f>'8B - 9%'!H30</f>
        <v>0</v>
      </c>
      <c r="CC2" s="1761">
        <f>'8B - 9%'!H20</f>
        <v>0</v>
      </c>
      <c r="CD2" s="1761">
        <f>'8B - 9%'!H38</f>
        <v>228433.19999999998</v>
      </c>
      <c r="CE2" s="1760">
        <f>'8E- 4%'!J42</f>
        <v>980451.3</v>
      </c>
      <c r="CF2" s="1761">
        <f>'8E- 4%'!J46</f>
        <v>96112.65</v>
      </c>
      <c r="CG2" s="1761">
        <f>'8E- 4%'!J47</f>
        <v>58792</v>
      </c>
      <c r="CH2" s="1761">
        <f>'8E- 4%'!J67</f>
        <v>396098.65</v>
      </c>
      <c r="CI2" s="1761">
        <f>'8E- 4%'!J69</f>
        <v>28000</v>
      </c>
      <c r="CJ2" s="1761">
        <f>'8E- 4%'!J70</f>
        <v>0</v>
      </c>
      <c r="CK2" s="1761">
        <f>'8E- 4%'!K70</f>
        <v>0</v>
      </c>
      <c r="CL2" s="1761">
        <f>'8E- 4%'!J73</f>
        <v>0</v>
      </c>
      <c r="CM2" s="1744">
        <f>'8E- 4%'!J86</f>
        <v>1.2113583217209545</v>
      </c>
      <c r="CN2" s="1761">
        <f>'8E- 4%'!J97</f>
        <v>82072.650000000023</v>
      </c>
      <c r="CO2" s="1761">
        <f>'8E- 4%'!K97</f>
        <v>91549.399750000099</v>
      </c>
      <c r="CP2" s="1761">
        <f>'8E- 4%'!L97</f>
        <v>101117.26091624983</v>
      </c>
      <c r="CQ2" s="1744" t="str">
        <f>IF('8D - 4%'!K44=0,"N","Y")</f>
        <v>N</v>
      </c>
    </row>
    <row r="3" spans="1:95" x14ac:dyDescent="0.25">
      <c r="A3" s="1744"/>
      <c r="B3" s="1744"/>
      <c r="C3" s="1744"/>
      <c r="D3" s="1744"/>
      <c r="E3" s="1744"/>
      <c r="F3" s="1744"/>
      <c r="G3" s="1744"/>
      <c r="H3" s="1744"/>
      <c r="I3" s="1744"/>
      <c r="J3" s="1744"/>
      <c r="K3" s="1744"/>
      <c r="L3" s="1744"/>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44"/>
      <c r="BN3" s="1744"/>
      <c r="BO3" s="1744"/>
      <c r="BP3" s="1744"/>
      <c r="BR3" s="1744"/>
      <c r="BT3" s="1744"/>
      <c r="BU3" s="1744"/>
      <c r="BV3" s="1744"/>
      <c r="BW3" s="1744"/>
      <c r="BX3" s="1744"/>
      <c r="BY3" s="1744"/>
      <c r="BZ3" s="1744"/>
      <c r="CA3" s="1744"/>
      <c r="CB3" s="1744"/>
      <c r="CC3" s="1744"/>
      <c r="CD3" s="1744"/>
      <c r="CE3" s="1744"/>
      <c r="CF3" s="1744"/>
      <c r="CG3" s="1744"/>
      <c r="CH3" s="1744"/>
      <c r="CI3" s="1744"/>
      <c r="CJ3" s="1744"/>
      <c r="CK3" s="1744"/>
      <c r="CL3" s="1744"/>
      <c r="CM3" s="1744"/>
      <c r="CN3" s="1744"/>
      <c r="CO3" s="1744"/>
      <c r="CP3" s="1744"/>
      <c r="CQ3" s="1744"/>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topLeftCell="A70" workbookViewId="0">
      <selection activeCell="E116" sqref="D116:E116"/>
    </sheetView>
  </sheetViews>
  <sheetFormatPr defaultRowHeight="15" x14ac:dyDescent="0.25"/>
  <cols>
    <col min="1" max="1" width="34" bestFit="1" customWidth="1"/>
    <col min="2" max="2" width="61.42578125" customWidth="1"/>
    <col min="5" max="5" width="41.140625" bestFit="1" customWidth="1"/>
    <col min="6" max="6" width="63.7109375" customWidth="1"/>
  </cols>
  <sheetData>
    <row r="1" spans="1:6" x14ac:dyDescent="0.25">
      <c r="A1" s="750">
        <v>0.04</v>
      </c>
      <c r="B1" s="751"/>
      <c r="C1" s="752"/>
      <c r="D1" s="752"/>
      <c r="E1" s="748">
        <v>0.09</v>
      </c>
      <c r="F1" s="749"/>
    </row>
    <row r="2" spans="1:6" x14ac:dyDescent="0.25">
      <c r="A2" s="743" t="s">
        <v>729</v>
      </c>
      <c r="B2" s="742" t="s">
        <v>603</v>
      </c>
      <c r="C2" s="752"/>
      <c r="D2" s="752"/>
      <c r="E2" s="754" t="s">
        <v>804</v>
      </c>
      <c r="F2" s="755" t="s">
        <v>559</v>
      </c>
    </row>
    <row r="3" spans="1:6" x14ac:dyDescent="0.25">
      <c r="A3" s="742" t="s">
        <v>1065</v>
      </c>
      <c r="B3" s="742" t="s">
        <v>730</v>
      </c>
      <c r="C3" s="752"/>
      <c r="D3" s="752"/>
      <c r="E3" s="755" t="s">
        <v>805</v>
      </c>
      <c r="F3" s="755" t="s">
        <v>806</v>
      </c>
    </row>
    <row r="4" spans="1:6" x14ac:dyDescent="0.25">
      <c r="B4" s="742" t="s">
        <v>731</v>
      </c>
      <c r="C4" s="752"/>
      <c r="D4" s="752"/>
      <c r="E4" s="753"/>
      <c r="F4" s="755" t="s">
        <v>807</v>
      </c>
    </row>
    <row r="5" spans="1:6" x14ac:dyDescent="0.25">
      <c r="B5" s="742" t="s">
        <v>732</v>
      </c>
      <c r="C5" s="752"/>
      <c r="D5" s="752"/>
      <c r="E5" s="753"/>
      <c r="F5" s="755" t="s">
        <v>808</v>
      </c>
    </row>
    <row r="6" spans="1:6" x14ac:dyDescent="0.25">
      <c r="B6" s="742" t="s">
        <v>733</v>
      </c>
      <c r="C6" s="752"/>
      <c r="D6" s="752"/>
      <c r="E6" s="754"/>
      <c r="F6" s="755" t="s">
        <v>809</v>
      </c>
    </row>
    <row r="7" spans="1:6" x14ac:dyDescent="0.25">
      <c r="B7" s="742" t="s">
        <v>734</v>
      </c>
      <c r="C7" s="752"/>
      <c r="D7" s="752"/>
      <c r="E7" s="754"/>
      <c r="F7" s="755" t="s">
        <v>810</v>
      </c>
    </row>
    <row r="8" spans="1:6" x14ac:dyDescent="0.25">
      <c r="B8" s="742" t="s">
        <v>735</v>
      </c>
      <c r="C8" s="752"/>
      <c r="D8" s="752"/>
      <c r="E8" s="754"/>
      <c r="F8" s="755" t="s">
        <v>811</v>
      </c>
    </row>
    <row r="9" spans="1:6" x14ac:dyDescent="0.25">
      <c r="C9" s="752"/>
      <c r="D9" s="752"/>
      <c r="E9" s="754"/>
      <c r="F9" s="755" t="s">
        <v>812</v>
      </c>
    </row>
    <row r="10" spans="1:6" x14ac:dyDescent="0.25">
      <c r="C10" s="752"/>
      <c r="D10" s="752"/>
      <c r="E10" s="754"/>
      <c r="F10" s="755" t="s">
        <v>813</v>
      </c>
    </row>
    <row r="11" spans="1:6" x14ac:dyDescent="0.25">
      <c r="A11" s="743" t="s">
        <v>736</v>
      </c>
      <c r="B11" s="744">
        <v>0</v>
      </c>
      <c r="C11" s="752"/>
      <c r="D11" s="752"/>
      <c r="E11" s="754"/>
      <c r="F11" s="755" t="s">
        <v>814</v>
      </c>
    </row>
    <row r="12" spans="1:6" x14ac:dyDescent="0.25">
      <c r="A12" s="742" t="s">
        <v>1061</v>
      </c>
      <c r="B12" s="744">
        <v>0.1</v>
      </c>
      <c r="C12" s="752"/>
      <c r="D12" s="752"/>
      <c r="E12" s="754"/>
      <c r="F12" s="755" t="s">
        <v>815</v>
      </c>
    </row>
    <row r="13" spans="1:6" x14ac:dyDescent="0.25">
      <c r="B13" s="744">
        <v>0.3</v>
      </c>
      <c r="C13" s="752"/>
      <c r="D13" s="752"/>
      <c r="E13" s="754"/>
      <c r="F13" s="755" t="s">
        <v>816</v>
      </c>
    </row>
    <row r="14" spans="1:6" x14ac:dyDescent="0.25">
      <c r="B14" s="744">
        <v>0.5</v>
      </c>
      <c r="C14" s="752"/>
      <c r="D14" s="752"/>
      <c r="E14" s="754"/>
      <c r="F14" s="755" t="s">
        <v>817</v>
      </c>
    </row>
    <row r="15" spans="1:6" x14ac:dyDescent="0.25">
      <c r="B15" s="744">
        <v>0.7</v>
      </c>
      <c r="C15" s="752"/>
      <c r="D15" s="752"/>
      <c r="E15" s="754"/>
      <c r="F15" s="755" t="s">
        <v>818</v>
      </c>
    </row>
    <row r="16" spans="1:6" x14ac:dyDescent="0.25">
      <c r="B16" s="744">
        <v>0.9</v>
      </c>
      <c r="C16" s="752"/>
      <c r="D16" s="752"/>
      <c r="E16" s="754"/>
      <c r="F16" s="755" t="s">
        <v>819</v>
      </c>
    </row>
    <row r="17" spans="1:6" x14ac:dyDescent="0.25">
      <c r="B17" s="744">
        <v>1</v>
      </c>
      <c r="C17" s="752"/>
      <c r="D17" s="752"/>
      <c r="E17" s="754"/>
      <c r="F17" s="753"/>
    </row>
    <row r="18" spans="1:6" x14ac:dyDescent="0.25">
      <c r="C18" s="752"/>
      <c r="D18" s="752"/>
      <c r="E18" s="754" t="s">
        <v>820</v>
      </c>
      <c r="F18" s="755" t="s">
        <v>557</v>
      </c>
    </row>
    <row r="19" spans="1:6" x14ac:dyDescent="0.25">
      <c r="A19" s="743" t="s">
        <v>1062</v>
      </c>
      <c r="B19" s="742" t="s">
        <v>561</v>
      </c>
      <c r="C19" s="752"/>
      <c r="D19" s="752"/>
      <c r="E19" s="755" t="s">
        <v>821</v>
      </c>
      <c r="F19" s="755" t="s">
        <v>822</v>
      </c>
    </row>
    <row r="20" spans="1:6" x14ac:dyDescent="0.25">
      <c r="B20" s="745" t="s">
        <v>739</v>
      </c>
      <c r="C20" s="752"/>
      <c r="D20" s="752"/>
      <c r="E20" s="753"/>
      <c r="F20" s="755" t="s">
        <v>823</v>
      </c>
    </row>
    <row r="21" spans="1:6" x14ac:dyDescent="0.25">
      <c r="B21" s="745" t="s">
        <v>740</v>
      </c>
      <c r="C21" s="752"/>
      <c r="D21" s="752"/>
      <c r="E21" s="753"/>
      <c r="F21" s="755" t="s">
        <v>824</v>
      </c>
    </row>
    <row r="22" spans="1:6" x14ac:dyDescent="0.25">
      <c r="B22" s="745" t="s">
        <v>741</v>
      </c>
      <c r="C22" s="752"/>
      <c r="D22" s="752"/>
      <c r="E22" s="753"/>
      <c r="F22" s="755" t="s">
        <v>825</v>
      </c>
    </row>
    <row r="23" spans="1:6" x14ac:dyDescent="0.25">
      <c r="B23" s="745" t="s">
        <v>742</v>
      </c>
      <c r="C23" s="752"/>
      <c r="D23" s="752"/>
      <c r="E23" s="753"/>
      <c r="F23" s="755" t="s">
        <v>826</v>
      </c>
    </row>
    <row r="24" spans="1:6" x14ac:dyDescent="0.25">
      <c r="B24" s="745" t="s">
        <v>743</v>
      </c>
      <c r="C24" s="752"/>
      <c r="D24" s="752"/>
      <c r="E24" s="753"/>
      <c r="F24" s="755" t="s">
        <v>827</v>
      </c>
    </row>
    <row r="25" spans="1:6" x14ac:dyDescent="0.25">
      <c r="B25" s="745" t="s">
        <v>744</v>
      </c>
      <c r="C25" s="752"/>
      <c r="D25" s="752"/>
      <c r="E25" s="753"/>
      <c r="F25" s="755" t="s">
        <v>828</v>
      </c>
    </row>
    <row r="26" spans="1:6" x14ac:dyDescent="0.25">
      <c r="B26" s="745" t="s">
        <v>745</v>
      </c>
      <c r="C26" s="752"/>
      <c r="D26" s="752"/>
      <c r="E26" s="753"/>
      <c r="F26" s="755" t="s">
        <v>829</v>
      </c>
    </row>
    <row r="27" spans="1:6" x14ac:dyDescent="0.25">
      <c r="B27" s="745" t="s">
        <v>746</v>
      </c>
      <c r="C27" s="752"/>
      <c r="D27" s="752"/>
      <c r="E27" s="753"/>
      <c r="F27" s="755" t="s">
        <v>830</v>
      </c>
    </row>
    <row r="28" spans="1:6" x14ac:dyDescent="0.25">
      <c r="B28" s="745" t="s">
        <v>747</v>
      </c>
      <c r="C28" s="752"/>
      <c r="D28" s="752"/>
      <c r="E28" s="753"/>
      <c r="F28" s="755" t="s">
        <v>831</v>
      </c>
    </row>
    <row r="29" spans="1:6" x14ac:dyDescent="0.25">
      <c r="B29" s="745" t="s">
        <v>748</v>
      </c>
      <c r="C29" s="752"/>
      <c r="D29" s="752"/>
      <c r="E29" s="753"/>
      <c r="F29" s="755" t="s">
        <v>832</v>
      </c>
    </row>
    <row r="30" spans="1:6" x14ac:dyDescent="0.25">
      <c r="B30" s="745" t="s">
        <v>749</v>
      </c>
      <c r="C30" s="752"/>
      <c r="D30" s="752"/>
      <c r="E30" s="753"/>
      <c r="F30" s="755" t="s">
        <v>833</v>
      </c>
    </row>
    <row r="31" spans="1:6" x14ac:dyDescent="0.25">
      <c r="B31" s="745" t="s">
        <v>750</v>
      </c>
      <c r="C31" s="752"/>
      <c r="D31" s="752"/>
      <c r="E31" s="753"/>
      <c r="F31" s="755" t="s">
        <v>834</v>
      </c>
    </row>
    <row r="32" spans="1:6" x14ac:dyDescent="0.25">
      <c r="B32" s="745" t="s">
        <v>751</v>
      </c>
      <c r="C32" s="752"/>
      <c r="D32" s="752"/>
      <c r="E32" s="753"/>
      <c r="F32" s="755" t="s">
        <v>835</v>
      </c>
    </row>
    <row r="33" spans="1:6" x14ac:dyDescent="0.25">
      <c r="B33" s="745" t="s">
        <v>752</v>
      </c>
      <c r="C33" s="752"/>
      <c r="D33" s="752"/>
      <c r="E33" s="753"/>
      <c r="F33" s="755" t="s">
        <v>836</v>
      </c>
    </row>
    <row r="34" spans="1:6" x14ac:dyDescent="0.25">
      <c r="B34" s="745" t="s">
        <v>753</v>
      </c>
      <c r="C34" s="752"/>
      <c r="D34" s="752"/>
      <c r="E34" s="753"/>
      <c r="F34" s="755" t="s">
        <v>837</v>
      </c>
    </row>
    <row r="35" spans="1:6" x14ac:dyDescent="0.25">
      <c r="B35" s="745" t="s">
        <v>754</v>
      </c>
      <c r="C35" s="752"/>
      <c r="D35" s="752"/>
      <c r="E35" s="753"/>
      <c r="F35" s="755" t="s">
        <v>838</v>
      </c>
    </row>
    <row r="36" spans="1:6" x14ac:dyDescent="0.25">
      <c r="B36" s="745" t="s">
        <v>755</v>
      </c>
      <c r="C36" s="752"/>
      <c r="D36" s="752"/>
      <c r="E36" s="753"/>
      <c r="F36" s="755" t="s">
        <v>839</v>
      </c>
    </row>
    <row r="37" spans="1:6" x14ac:dyDescent="0.25">
      <c r="B37" s="745" t="s">
        <v>756</v>
      </c>
      <c r="C37" s="752"/>
      <c r="D37" s="752"/>
      <c r="E37" s="753"/>
      <c r="F37" s="755" t="s">
        <v>840</v>
      </c>
    </row>
    <row r="38" spans="1:6" x14ac:dyDescent="0.25">
      <c r="B38" s="745" t="s">
        <v>757</v>
      </c>
      <c r="C38" s="752"/>
      <c r="D38" s="752"/>
      <c r="E38" s="753"/>
      <c r="F38" s="755" t="s">
        <v>841</v>
      </c>
    </row>
    <row r="39" spans="1:6" x14ac:dyDescent="0.25">
      <c r="B39" s="745" t="s">
        <v>758</v>
      </c>
      <c r="C39" s="752"/>
      <c r="D39" s="752"/>
    </row>
    <row r="40" spans="1:6" x14ac:dyDescent="0.25">
      <c r="B40" s="745" t="s">
        <v>759</v>
      </c>
      <c r="C40" s="752"/>
      <c r="D40" s="752"/>
      <c r="E40" s="754" t="s">
        <v>842</v>
      </c>
      <c r="F40" s="755" t="s">
        <v>555</v>
      </c>
    </row>
    <row r="41" spans="1:6" x14ac:dyDescent="0.25">
      <c r="B41" s="745" t="s">
        <v>760</v>
      </c>
      <c r="C41" s="752"/>
      <c r="D41" s="752"/>
      <c r="E41" s="755" t="s">
        <v>843</v>
      </c>
      <c r="F41" s="755" t="s">
        <v>844</v>
      </c>
    </row>
    <row r="42" spans="1:6" x14ac:dyDescent="0.25">
      <c r="C42" s="752"/>
      <c r="D42" s="752"/>
      <c r="E42" s="753"/>
      <c r="F42" s="755" t="s">
        <v>845</v>
      </c>
    </row>
    <row r="43" spans="1:6" x14ac:dyDescent="0.25">
      <c r="A43" s="745" t="s">
        <v>761</v>
      </c>
      <c r="B43" s="745" t="s">
        <v>561</v>
      </c>
      <c r="C43" s="752"/>
      <c r="D43" s="752"/>
      <c r="E43" s="753"/>
      <c r="F43" s="755" t="s">
        <v>846</v>
      </c>
    </row>
    <row r="44" spans="1:6" x14ac:dyDescent="0.25">
      <c r="B44" s="746" t="s">
        <v>762</v>
      </c>
      <c r="C44" s="752"/>
      <c r="D44" s="752"/>
      <c r="E44" s="753"/>
      <c r="F44" s="755" t="s">
        <v>847</v>
      </c>
    </row>
    <row r="45" spans="1:6" x14ac:dyDescent="0.25">
      <c r="B45" s="746" t="s">
        <v>763</v>
      </c>
      <c r="C45" s="752"/>
      <c r="D45" s="752"/>
      <c r="E45" s="753"/>
      <c r="F45" s="755" t="s">
        <v>848</v>
      </c>
    </row>
    <row r="46" spans="1:6" x14ac:dyDescent="0.25">
      <c r="B46" s="746" t="s">
        <v>764</v>
      </c>
      <c r="C46" s="752"/>
      <c r="D46" s="752"/>
      <c r="E46" s="753"/>
      <c r="F46" s="755" t="s">
        <v>849</v>
      </c>
    </row>
    <row r="47" spans="1:6" x14ac:dyDescent="0.25">
      <c r="C47" s="752"/>
      <c r="D47" s="752"/>
      <c r="E47" s="753"/>
      <c r="F47" s="755" t="s">
        <v>850</v>
      </c>
    </row>
    <row r="48" spans="1:6" x14ac:dyDescent="0.25">
      <c r="A48" s="745" t="s">
        <v>765</v>
      </c>
      <c r="B48" s="745" t="s">
        <v>561</v>
      </c>
      <c r="C48" s="752"/>
      <c r="D48" s="752"/>
      <c r="E48" s="753"/>
      <c r="F48" s="755" t="s">
        <v>851</v>
      </c>
    </row>
    <row r="49" spans="1:6" x14ac:dyDescent="0.25">
      <c r="B49" s="746" t="s">
        <v>766</v>
      </c>
      <c r="C49" s="752"/>
      <c r="D49" s="752"/>
      <c r="F49" s="755" t="s">
        <v>852</v>
      </c>
    </row>
    <row r="50" spans="1:6" x14ac:dyDescent="0.25">
      <c r="B50" s="746" t="s">
        <v>767</v>
      </c>
      <c r="C50" s="752"/>
      <c r="D50" s="752"/>
      <c r="F50" s="755" t="s">
        <v>853</v>
      </c>
    </row>
    <row r="51" spans="1:6" x14ac:dyDescent="0.25">
      <c r="B51" s="746" t="s">
        <v>768</v>
      </c>
      <c r="C51" s="752"/>
      <c r="D51" s="752"/>
      <c r="F51" s="755" t="s">
        <v>854</v>
      </c>
    </row>
    <row r="52" spans="1:6" x14ac:dyDescent="0.25">
      <c r="C52" s="752"/>
      <c r="D52" s="752"/>
      <c r="F52" s="755" t="s">
        <v>855</v>
      </c>
    </row>
    <row r="53" spans="1:6" x14ac:dyDescent="0.25">
      <c r="A53" s="742" t="s">
        <v>769</v>
      </c>
      <c r="B53" s="742" t="s">
        <v>561</v>
      </c>
      <c r="C53" s="752"/>
      <c r="D53" s="752"/>
      <c r="F53" s="755" t="s">
        <v>856</v>
      </c>
    </row>
    <row r="54" spans="1:6" x14ac:dyDescent="0.25">
      <c r="A54" s="742" t="s">
        <v>770</v>
      </c>
      <c r="B54" s="742" t="s">
        <v>771</v>
      </c>
      <c r="C54" s="752"/>
      <c r="D54" s="752"/>
      <c r="F54" s="755" t="s">
        <v>857</v>
      </c>
    </row>
    <row r="55" spans="1:6" x14ac:dyDescent="0.25">
      <c r="C55" s="752"/>
      <c r="D55" s="752"/>
      <c r="F55" s="755" t="s">
        <v>858</v>
      </c>
    </row>
    <row r="56" spans="1:6" x14ac:dyDescent="0.25">
      <c r="C56" s="752"/>
      <c r="D56" s="752"/>
      <c r="F56" s="755" t="s">
        <v>859</v>
      </c>
    </row>
    <row r="57" spans="1:6" x14ac:dyDescent="0.25">
      <c r="C57" s="752"/>
      <c r="D57" s="752"/>
      <c r="F57" s="755" t="s">
        <v>860</v>
      </c>
    </row>
    <row r="58" spans="1:6" x14ac:dyDescent="0.25">
      <c r="A58" s="745" t="s">
        <v>772</v>
      </c>
      <c r="B58" s="745" t="s">
        <v>561</v>
      </c>
      <c r="C58" s="752"/>
      <c r="D58" s="752"/>
      <c r="F58" s="755" t="s">
        <v>861</v>
      </c>
    </row>
    <row r="59" spans="1:6" x14ac:dyDescent="0.25">
      <c r="A59" s="745" t="s">
        <v>773</v>
      </c>
      <c r="B59" s="745" t="s">
        <v>774</v>
      </c>
      <c r="C59" s="752"/>
      <c r="D59" s="752"/>
      <c r="F59" s="755" t="s">
        <v>862</v>
      </c>
    </row>
    <row r="60" spans="1:6" x14ac:dyDescent="0.25">
      <c r="B60" s="745" t="s">
        <v>775</v>
      </c>
      <c r="C60" s="752"/>
      <c r="D60" s="752"/>
      <c r="F60" s="755" t="s">
        <v>863</v>
      </c>
    </row>
    <row r="61" spans="1:6" x14ac:dyDescent="0.25">
      <c r="B61" s="745" t="s">
        <v>776</v>
      </c>
      <c r="C61" s="752"/>
      <c r="D61" s="752"/>
      <c r="F61" s="755" t="s">
        <v>864</v>
      </c>
    </row>
    <row r="62" spans="1:6" x14ac:dyDescent="0.25">
      <c r="B62" s="745" t="s">
        <v>777</v>
      </c>
      <c r="C62" s="752"/>
      <c r="D62" s="752"/>
      <c r="F62" s="755" t="s">
        <v>865</v>
      </c>
    </row>
    <row r="63" spans="1:6" x14ac:dyDescent="0.25">
      <c r="C63" s="752"/>
      <c r="D63" s="752"/>
      <c r="F63" s="755" t="s">
        <v>866</v>
      </c>
    </row>
    <row r="64" spans="1:6" x14ac:dyDescent="0.25">
      <c r="C64" s="752"/>
      <c r="D64" s="752"/>
      <c r="F64" s="755" t="s">
        <v>867</v>
      </c>
    </row>
    <row r="65" spans="1:6" x14ac:dyDescent="0.25">
      <c r="A65" s="742" t="s">
        <v>778</v>
      </c>
      <c r="B65" s="742" t="s">
        <v>561</v>
      </c>
      <c r="C65" s="752"/>
      <c r="D65" s="752"/>
      <c r="E65" s="753"/>
      <c r="F65" s="755" t="s">
        <v>868</v>
      </c>
    </row>
    <row r="66" spans="1:6" x14ac:dyDescent="0.25">
      <c r="A66" s="742" t="s">
        <v>779</v>
      </c>
      <c r="B66" s="742" t="s">
        <v>780</v>
      </c>
      <c r="C66" s="752"/>
      <c r="D66" s="752"/>
      <c r="E66" s="753"/>
      <c r="F66" s="755" t="s">
        <v>869</v>
      </c>
    </row>
    <row r="67" spans="1:6" x14ac:dyDescent="0.25">
      <c r="B67" s="742" t="s">
        <v>781</v>
      </c>
      <c r="C67" s="752"/>
      <c r="D67" s="752"/>
      <c r="E67" s="753"/>
      <c r="F67" s="755" t="s">
        <v>870</v>
      </c>
    </row>
    <row r="68" spans="1:6" x14ac:dyDescent="0.25">
      <c r="B68" s="742" t="s">
        <v>782</v>
      </c>
      <c r="C68" s="752"/>
      <c r="D68" s="752"/>
    </row>
    <row r="69" spans="1:6" x14ac:dyDescent="0.25">
      <c r="C69" s="752"/>
      <c r="D69" s="752"/>
      <c r="E69" s="754" t="s">
        <v>871</v>
      </c>
      <c r="F69" s="755" t="s">
        <v>557</v>
      </c>
    </row>
    <row r="70" spans="1:6" x14ac:dyDescent="0.25">
      <c r="A70" s="742" t="s">
        <v>783</v>
      </c>
      <c r="B70" s="742" t="s">
        <v>561</v>
      </c>
      <c r="C70" s="752"/>
      <c r="D70" s="752"/>
      <c r="E70" s="755" t="s">
        <v>872</v>
      </c>
      <c r="F70" s="755" t="s">
        <v>873</v>
      </c>
    </row>
    <row r="71" spans="1:6" x14ac:dyDescent="0.25">
      <c r="A71" s="742" t="s">
        <v>784</v>
      </c>
      <c r="B71" s="742" t="s">
        <v>785</v>
      </c>
      <c r="C71" s="752"/>
      <c r="D71" s="752"/>
      <c r="E71" s="753"/>
      <c r="F71" s="755" t="s">
        <v>874</v>
      </c>
    </row>
    <row r="72" spans="1:6" x14ac:dyDescent="0.25">
      <c r="B72" s="742" t="s">
        <v>786</v>
      </c>
      <c r="C72" s="752"/>
      <c r="D72" s="752"/>
      <c r="E72" s="753"/>
      <c r="F72" s="755" t="s">
        <v>875</v>
      </c>
    </row>
    <row r="73" spans="1:6" x14ac:dyDescent="0.25">
      <c r="B73" s="742" t="s">
        <v>787</v>
      </c>
      <c r="C73" s="752"/>
      <c r="D73" s="752"/>
      <c r="E73" s="753"/>
      <c r="F73" s="755" t="s">
        <v>876</v>
      </c>
    </row>
    <row r="74" spans="1:6" x14ac:dyDescent="0.25">
      <c r="B74" s="742" t="s">
        <v>788</v>
      </c>
      <c r="C74" s="752"/>
      <c r="D74" s="752"/>
      <c r="E74" s="753"/>
      <c r="F74" s="755" t="s">
        <v>877</v>
      </c>
    </row>
    <row r="75" spans="1:6" x14ac:dyDescent="0.25">
      <c r="B75" s="742" t="s">
        <v>789</v>
      </c>
      <c r="C75" s="752"/>
      <c r="D75" s="752"/>
      <c r="E75" s="753"/>
      <c r="F75" s="755" t="s">
        <v>878</v>
      </c>
    </row>
    <row r="76" spans="1:6" x14ac:dyDescent="0.25">
      <c r="B76" s="742" t="s">
        <v>790</v>
      </c>
      <c r="C76" s="752"/>
      <c r="D76" s="752"/>
      <c r="E76" s="753"/>
      <c r="F76" s="755" t="s">
        <v>879</v>
      </c>
    </row>
    <row r="77" spans="1:6" x14ac:dyDescent="0.25">
      <c r="B77" s="742" t="s">
        <v>791</v>
      </c>
      <c r="C77" s="752"/>
      <c r="D77" s="752"/>
      <c r="E77" s="753"/>
      <c r="F77" s="755" t="s">
        <v>880</v>
      </c>
    </row>
    <row r="78" spans="1:6" x14ac:dyDescent="0.25">
      <c r="C78" s="752"/>
      <c r="D78" s="752"/>
      <c r="E78" s="753"/>
      <c r="F78" s="755" t="s">
        <v>881</v>
      </c>
    </row>
    <row r="79" spans="1:6" x14ac:dyDescent="0.25">
      <c r="C79" s="752"/>
      <c r="D79" s="752"/>
      <c r="E79" s="753"/>
      <c r="F79" s="755" t="s">
        <v>882</v>
      </c>
    </row>
    <row r="80" spans="1:6" x14ac:dyDescent="0.25">
      <c r="A80" s="742"/>
      <c r="B80" s="742"/>
      <c r="C80" s="752"/>
      <c r="D80" s="752"/>
      <c r="E80" s="753"/>
      <c r="F80" s="755" t="s">
        <v>883</v>
      </c>
    </row>
    <row r="81" spans="1:6" x14ac:dyDescent="0.25">
      <c r="B81" s="742"/>
      <c r="C81" s="752"/>
      <c r="D81" s="752"/>
      <c r="E81" s="753"/>
      <c r="F81" s="755" t="s">
        <v>884</v>
      </c>
    </row>
    <row r="82" spans="1:6" x14ac:dyDescent="0.25">
      <c r="B82" s="742"/>
      <c r="C82" s="752"/>
      <c r="D82" s="752"/>
      <c r="E82" s="753"/>
      <c r="F82" s="755" t="s">
        <v>885</v>
      </c>
    </row>
    <row r="83" spans="1:6" x14ac:dyDescent="0.25">
      <c r="B83" s="742"/>
      <c r="C83" s="752"/>
      <c r="D83" s="752"/>
      <c r="E83" s="753"/>
      <c r="F83" s="755" t="s">
        <v>886</v>
      </c>
    </row>
    <row r="84" spans="1:6" x14ac:dyDescent="0.25">
      <c r="B84" s="742"/>
      <c r="C84" s="752"/>
      <c r="D84" s="752"/>
      <c r="E84" s="753"/>
      <c r="F84" s="755" t="s">
        <v>887</v>
      </c>
    </row>
    <row r="85" spans="1:6" x14ac:dyDescent="0.25">
      <c r="B85" s="742"/>
      <c r="C85" s="752"/>
      <c r="D85" s="752"/>
      <c r="E85" s="753"/>
      <c r="F85" s="755" t="s">
        <v>888</v>
      </c>
    </row>
    <row r="86" spans="1:6" x14ac:dyDescent="0.25">
      <c r="C86" s="752"/>
      <c r="D86" s="752"/>
      <c r="E86" s="753"/>
      <c r="F86" s="755" t="s">
        <v>889</v>
      </c>
    </row>
    <row r="87" spans="1:6" x14ac:dyDescent="0.25">
      <c r="C87" s="752"/>
      <c r="D87" s="752"/>
      <c r="E87" s="753"/>
      <c r="F87" s="755" t="s">
        <v>890</v>
      </c>
    </row>
    <row r="88" spans="1:6" x14ac:dyDescent="0.25">
      <c r="A88" s="742" t="s">
        <v>793</v>
      </c>
      <c r="B88" s="742" t="s">
        <v>561</v>
      </c>
      <c r="C88" s="752"/>
      <c r="D88" s="752"/>
      <c r="E88" s="753"/>
      <c r="F88" s="755" t="s">
        <v>891</v>
      </c>
    </row>
    <row r="89" spans="1:6" x14ac:dyDescent="0.25">
      <c r="A89" s="742" t="s">
        <v>794</v>
      </c>
      <c r="B89" s="743" t="s">
        <v>795</v>
      </c>
      <c r="C89" s="752"/>
      <c r="D89" s="752"/>
      <c r="E89" s="753"/>
      <c r="F89" s="755" t="s">
        <v>892</v>
      </c>
    </row>
    <row r="90" spans="1:6" x14ac:dyDescent="0.25">
      <c r="B90" s="743" t="s">
        <v>796</v>
      </c>
      <c r="C90" s="752"/>
      <c r="D90" s="752"/>
    </row>
    <row r="91" spans="1:6" x14ac:dyDescent="0.25">
      <c r="B91" s="743" t="s">
        <v>797</v>
      </c>
      <c r="C91" s="752"/>
      <c r="D91" s="752"/>
      <c r="E91" s="754" t="s">
        <v>736</v>
      </c>
      <c r="F91" s="756">
        <v>0</v>
      </c>
    </row>
    <row r="92" spans="1:6" x14ac:dyDescent="0.25">
      <c r="B92" s="743" t="s">
        <v>798</v>
      </c>
      <c r="C92" s="752"/>
      <c r="D92" s="752"/>
      <c r="E92" s="755" t="s">
        <v>737</v>
      </c>
      <c r="F92" s="756">
        <v>0.1</v>
      </c>
    </row>
    <row r="93" spans="1:6" x14ac:dyDescent="0.25">
      <c r="C93" s="752"/>
      <c r="D93" s="752"/>
      <c r="E93" s="753"/>
      <c r="F93" s="756">
        <v>0.2</v>
      </c>
    </row>
    <row r="94" spans="1:6" x14ac:dyDescent="0.25">
      <c r="C94" s="752"/>
      <c r="D94" s="752"/>
      <c r="E94" s="753"/>
      <c r="F94" s="756">
        <v>0.25</v>
      </c>
    </row>
    <row r="95" spans="1:6" x14ac:dyDescent="0.25">
      <c r="A95" s="745"/>
      <c r="B95" s="742"/>
      <c r="C95" s="752"/>
      <c r="D95" s="752"/>
      <c r="E95" s="753"/>
      <c r="F95" s="756">
        <v>0.3</v>
      </c>
    </row>
    <row r="96" spans="1:6" x14ac:dyDescent="0.25">
      <c r="A96" s="745"/>
      <c r="B96" s="745"/>
      <c r="C96" s="752"/>
      <c r="D96" s="752"/>
      <c r="E96" s="753"/>
      <c r="F96" s="756">
        <v>0.4</v>
      </c>
    </row>
    <row r="97" spans="1:6" x14ac:dyDescent="0.25">
      <c r="B97" s="745"/>
      <c r="C97" s="752"/>
      <c r="D97" s="752"/>
      <c r="E97" s="753"/>
      <c r="F97" s="756">
        <v>0.5</v>
      </c>
    </row>
    <row r="98" spans="1:6" x14ac:dyDescent="0.25">
      <c r="B98" s="745"/>
      <c r="C98" s="752"/>
      <c r="D98" s="752"/>
      <c r="E98" s="753"/>
      <c r="F98" s="756">
        <v>0.6</v>
      </c>
    </row>
    <row r="99" spans="1:6" x14ac:dyDescent="0.25">
      <c r="C99" s="752"/>
      <c r="D99" s="752"/>
      <c r="E99" s="753"/>
      <c r="F99" s="756">
        <v>0.75</v>
      </c>
    </row>
    <row r="100" spans="1:6" x14ac:dyDescent="0.25">
      <c r="A100" t="s">
        <v>801</v>
      </c>
      <c r="C100" s="752"/>
      <c r="D100" s="752"/>
      <c r="E100" s="753"/>
      <c r="F100" s="756">
        <v>1</v>
      </c>
    </row>
    <row r="101" spans="1:6" x14ac:dyDescent="0.25">
      <c r="A101" s="745" t="s">
        <v>1063</v>
      </c>
      <c r="B101" s="742" t="s">
        <v>561</v>
      </c>
      <c r="C101" s="752"/>
      <c r="D101" s="752"/>
    </row>
    <row r="102" spans="1:6" x14ac:dyDescent="0.25">
      <c r="B102" s="745" t="s">
        <v>802</v>
      </c>
      <c r="C102" s="752"/>
      <c r="D102" s="752"/>
      <c r="E102" s="754" t="s">
        <v>738</v>
      </c>
      <c r="F102" s="755" t="s">
        <v>561</v>
      </c>
    </row>
    <row r="103" spans="1:6" x14ac:dyDescent="0.25">
      <c r="B103" s="745" t="s">
        <v>803</v>
      </c>
      <c r="C103" s="752"/>
      <c r="D103" s="752"/>
      <c r="E103" s="753"/>
      <c r="F103" s="757" t="s">
        <v>893</v>
      </c>
    </row>
    <row r="104" spans="1:6" x14ac:dyDescent="0.25">
      <c r="C104" s="752"/>
      <c r="D104" s="752"/>
      <c r="E104" s="753"/>
      <c r="F104" s="757" t="s">
        <v>894</v>
      </c>
    </row>
    <row r="105" spans="1:6" x14ac:dyDescent="0.25">
      <c r="C105" s="752"/>
      <c r="D105" s="752"/>
      <c r="E105" s="753"/>
      <c r="F105" s="757" t="s">
        <v>895</v>
      </c>
    </row>
    <row r="106" spans="1:6" x14ac:dyDescent="0.25">
      <c r="A106" s="742"/>
      <c r="B106" s="747"/>
      <c r="C106" s="752"/>
      <c r="D106" s="752"/>
      <c r="E106" s="753"/>
      <c r="F106" s="757" t="s">
        <v>896</v>
      </c>
    </row>
    <row r="107" spans="1:6" x14ac:dyDescent="0.25">
      <c r="B107" s="747"/>
      <c r="C107" s="752"/>
      <c r="D107" s="752"/>
      <c r="E107" s="753"/>
      <c r="F107" s="757" t="s">
        <v>897</v>
      </c>
    </row>
    <row r="108" spans="1:6" x14ac:dyDescent="0.25">
      <c r="C108" s="752"/>
      <c r="D108" s="752"/>
      <c r="E108" s="753"/>
      <c r="F108" s="757" t="s">
        <v>898</v>
      </c>
    </row>
    <row r="109" spans="1:6" x14ac:dyDescent="0.25">
      <c r="A109" s="742"/>
      <c r="B109" s="747"/>
      <c r="C109" s="752"/>
      <c r="D109" s="752"/>
      <c r="E109" s="753"/>
      <c r="F109" s="757" t="s">
        <v>899</v>
      </c>
    </row>
    <row r="110" spans="1:6" x14ac:dyDescent="0.25">
      <c r="B110" s="747"/>
      <c r="C110" s="752"/>
      <c r="D110" s="752"/>
      <c r="E110" s="753"/>
      <c r="F110" s="757" t="s">
        <v>900</v>
      </c>
    </row>
    <row r="111" spans="1:6" x14ac:dyDescent="0.25">
      <c r="B111" s="747"/>
      <c r="C111" s="752"/>
      <c r="D111" s="752"/>
      <c r="E111" s="753"/>
      <c r="F111" s="757" t="s">
        <v>901</v>
      </c>
    </row>
    <row r="112" spans="1:6" x14ac:dyDescent="0.25">
      <c r="B112" s="747"/>
      <c r="C112" s="752"/>
      <c r="D112" s="752"/>
      <c r="E112" s="753"/>
      <c r="F112" s="757" t="s">
        <v>902</v>
      </c>
    </row>
    <row r="113" spans="1:6" x14ac:dyDescent="0.25">
      <c r="B113" s="747"/>
      <c r="C113" s="752"/>
      <c r="D113" s="752"/>
      <c r="E113" s="753"/>
      <c r="F113" s="757" t="s">
        <v>903</v>
      </c>
    </row>
    <row r="114" spans="1:6" x14ac:dyDescent="0.25">
      <c r="C114" s="752"/>
      <c r="D114" s="752"/>
      <c r="E114" s="753"/>
      <c r="F114" s="757" t="s">
        <v>904</v>
      </c>
    </row>
    <row r="115" spans="1:6" x14ac:dyDescent="0.25">
      <c r="A115" s="742"/>
      <c r="B115" s="747"/>
      <c r="C115" s="752"/>
      <c r="D115" s="752"/>
      <c r="E115" s="753"/>
      <c r="F115" s="757" t="s">
        <v>905</v>
      </c>
    </row>
    <row r="116" spans="1:6" x14ac:dyDescent="0.25">
      <c r="B116" s="747"/>
      <c r="C116" s="752"/>
      <c r="D116" s="752"/>
      <c r="E116" s="753"/>
      <c r="F116" s="757" t="s">
        <v>906</v>
      </c>
    </row>
    <row r="117" spans="1:6" x14ac:dyDescent="0.25">
      <c r="B117" s="747"/>
      <c r="C117" s="752"/>
      <c r="D117" s="752"/>
      <c r="E117" s="753"/>
      <c r="F117" s="757" t="s">
        <v>907</v>
      </c>
    </row>
    <row r="118" spans="1:6" x14ac:dyDescent="0.25">
      <c r="B118" s="747"/>
      <c r="C118" s="752"/>
      <c r="D118" s="752"/>
      <c r="E118" s="753"/>
      <c r="F118" s="757" t="s">
        <v>908</v>
      </c>
    </row>
    <row r="119" spans="1:6" x14ac:dyDescent="0.25">
      <c r="B119" s="747"/>
      <c r="C119" s="752"/>
      <c r="D119" s="752"/>
      <c r="E119" s="753"/>
      <c r="F119" s="757" t="s">
        <v>909</v>
      </c>
    </row>
    <row r="120" spans="1:6" x14ac:dyDescent="0.25">
      <c r="B120" s="747"/>
      <c r="C120" s="752"/>
      <c r="D120" s="752"/>
      <c r="E120" s="753"/>
      <c r="F120" s="757" t="s">
        <v>910</v>
      </c>
    </row>
    <row r="121" spans="1:6" x14ac:dyDescent="0.25">
      <c r="A121" s="742"/>
      <c r="C121" s="752"/>
      <c r="D121" s="752"/>
      <c r="E121" s="753"/>
      <c r="F121" s="757" t="s">
        <v>911</v>
      </c>
    </row>
    <row r="122" spans="1:6" x14ac:dyDescent="0.25">
      <c r="C122" s="752"/>
      <c r="D122" s="752"/>
      <c r="E122" s="753"/>
      <c r="F122" s="757" t="s">
        <v>912</v>
      </c>
    </row>
    <row r="123" spans="1:6" x14ac:dyDescent="0.25">
      <c r="C123" s="752"/>
      <c r="D123" s="752"/>
      <c r="E123" s="753"/>
      <c r="F123" s="757" t="s">
        <v>913</v>
      </c>
    </row>
    <row r="124" spans="1:6" x14ac:dyDescent="0.25">
      <c r="C124" s="752"/>
      <c r="D124" s="752"/>
      <c r="E124" s="753"/>
      <c r="F124" s="757" t="s">
        <v>693</v>
      </c>
    </row>
    <row r="125" spans="1:6" x14ac:dyDescent="0.25">
      <c r="C125" s="752"/>
      <c r="D125" s="752"/>
    </row>
    <row r="126" spans="1:6" x14ac:dyDescent="0.25">
      <c r="C126" s="752"/>
      <c r="D126" s="752"/>
      <c r="E126" s="757" t="s">
        <v>914</v>
      </c>
      <c r="F126" s="757" t="s">
        <v>561</v>
      </c>
    </row>
    <row r="127" spans="1:6" x14ac:dyDescent="0.25">
      <c r="C127" s="752"/>
      <c r="D127" s="752"/>
      <c r="E127" s="757"/>
      <c r="F127" s="758" t="s">
        <v>694</v>
      </c>
    </row>
    <row r="128" spans="1:6" x14ac:dyDescent="0.25">
      <c r="C128" s="752"/>
      <c r="D128" s="752"/>
      <c r="E128" s="757"/>
      <c r="F128" s="758"/>
    </row>
    <row r="129" spans="3:6" x14ac:dyDescent="0.25">
      <c r="C129" s="752"/>
      <c r="D129" s="752"/>
      <c r="E129" s="757"/>
      <c r="F129" s="757"/>
    </row>
    <row r="130" spans="3:6" x14ac:dyDescent="0.25">
      <c r="C130" s="752"/>
      <c r="D130" s="752"/>
      <c r="E130" s="757" t="s">
        <v>915</v>
      </c>
      <c r="F130" s="757" t="s">
        <v>561</v>
      </c>
    </row>
    <row r="131" spans="3:6" x14ac:dyDescent="0.25">
      <c r="C131" s="752"/>
      <c r="D131" s="752"/>
      <c r="E131" s="757"/>
      <c r="F131" s="757" t="s">
        <v>916</v>
      </c>
    </row>
    <row r="132" spans="3:6" x14ac:dyDescent="0.25">
      <c r="C132" s="752"/>
      <c r="D132" s="752"/>
      <c r="E132" s="757"/>
      <c r="F132" s="758" t="s">
        <v>917</v>
      </c>
    </row>
    <row r="133" spans="3:6" x14ac:dyDescent="0.25">
      <c r="C133" s="752"/>
      <c r="D133" s="752"/>
      <c r="E133" s="757"/>
      <c r="F133" s="758" t="s">
        <v>918</v>
      </c>
    </row>
    <row r="134" spans="3:6" x14ac:dyDescent="0.25">
      <c r="C134" s="752"/>
      <c r="D134" s="752"/>
      <c r="E134" s="757"/>
      <c r="F134" s="758" t="s">
        <v>919</v>
      </c>
    </row>
    <row r="135" spans="3:6" x14ac:dyDescent="0.25">
      <c r="C135" s="752"/>
      <c r="D135" s="752"/>
      <c r="E135" s="757"/>
      <c r="F135" s="758" t="s">
        <v>920</v>
      </c>
    </row>
    <row r="136" spans="3:6" x14ac:dyDescent="0.25">
      <c r="C136" s="752"/>
      <c r="D136" s="752"/>
      <c r="E136" s="757"/>
      <c r="F136" s="759" t="s">
        <v>921</v>
      </c>
    </row>
    <row r="137" spans="3:6" x14ac:dyDescent="0.25">
      <c r="C137" s="752"/>
      <c r="D137" s="752"/>
      <c r="E137" s="757"/>
      <c r="F137" s="759" t="s">
        <v>922</v>
      </c>
    </row>
    <row r="138" spans="3:6" x14ac:dyDescent="0.25">
      <c r="C138" s="752"/>
      <c r="D138" s="752"/>
      <c r="E138" s="757"/>
      <c r="F138" s="759" t="s">
        <v>691</v>
      </c>
    </row>
    <row r="139" spans="3:6" x14ac:dyDescent="0.25">
      <c r="C139" s="752"/>
      <c r="D139" s="752"/>
      <c r="E139" s="757"/>
      <c r="F139" s="757"/>
    </row>
    <row r="140" spans="3:6" x14ac:dyDescent="0.25">
      <c r="C140" s="752"/>
      <c r="D140" s="752"/>
      <c r="E140" s="757" t="s">
        <v>923</v>
      </c>
      <c r="F140" s="757" t="s">
        <v>594</v>
      </c>
    </row>
    <row r="141" spans="3:6" x14ac:dyDescent="0.25">
      <c r="C141" s="752"/>
      <c r="D141" s="752"/>
      <c r="E141" s="757" t="s">
        <v>924</v>
      </c>
      <c r="F141" s="757" t="s">
        <v>925</v>
      </c>
    </row>
    <row r="142" spans="3:6" x14ac:dyDescent="0.25">
      <c r="C142" s="752"/>
      <c r="D142" s="752"/>
      <c r="E142" s="753"/>
      <c r="F142" s="757" t="s">
        <v>926</v>
      </c>
    </row>
    <row r="143" spans="3:6" x14ac:dyDescent="0.25">
      <c r="C143" s="752"/>
      <c r="D143" s="752"/>
      <c r="E143" s="757"/>
      <c r="F143" s="757" t="s">
        <v>927</v>
      </c>
    </row>
    <row r="144" spans="3:6" x14ac:dyDescent="0.25">
      <c r="C144" s="752"/>
      <c r="D144" s="752"/>
      <c r="E144" s="757"/>
      <c r="F144" s="757" t="s">
        <v>928</v>
      </c>
    </row>
    <row r="145" spans="3:6" x14ac:dyDescent="0.25">
      <c r="C145" s="752"/>
      <c r="D145" s="752"/>
      <c r="E145" s="757"/>
      <c r="F145" s="757" t="s">
        <v>929</v>
      </c>
    </row>
    <row r="146" spans="3:6" x14ac:dyDescent="0.25">
      <c r="C146" s="752"/>
      <c r="D146" s="752"/>
      <c r="E146" s="757"/>
      <c r="F146" s="757" t="s">
        <v>930</v>
      </c>
    </row>
    <row r="147" spans="3:6" x14ac:dyDescent="0.25">
      <c r="C147" s="752"/>
      <c r="D147" s="752"/>
      <c r="E147" s="757"/>
      <c r="F147" s="757" t="s">
        <v>931</v>
      </c>
    </row>
    <row r="148" spans="3:6" x14ac:dyDescent="0.25">
      <c r="C148" s="752"/>
      <c r="D148" s="752"/>
      <c r="E148" s="757"/>
      <c r="F148" s="753"/>
    </row>
    <row r="149" spans="3:6" x14ac:dyDescent="0.25">
      <c r="C149" s="752"/>
      <c r="D149" s="752"/>
      <c r="E149" s="757" t="s">
        <v>932</v>
      </c>
      <c r="F149" s="755" t="s">
        <v>933</v>
      </c>
    </row>
    <row r="150" spans="3:6" x14ac:dyDescent="0.25">
      <c r="C150" s="752"/>
      <c r="D150" s="752"/>
      <c r="E150" s="757" t="s">
        <v>934</v>
      </c>
      <c r="F150" s="759" t="s">
        <v>935</v>
      </c>
    </row>
    <row r="151" spans="3:6" x14ac:dyDescent="0.25">
      <c r="C151" s="752"/>
      <c r="D151" s="752"/>
      <c r="E151" s="753"/>
      <c r="F151" s="759" t="s">
        <v>936</v>
      </c>
    </row>
    <row r="152" spans="3:6" x14ac:dyDescent="0.25">
      <c r="C152" s="752"/>
      <c r="D152" s="752"/>
      <c r="E152" s="757"/>
      <c r="F152" s="759">
        <v>2060</v>
      </c>
    </row>
    <row r="153" spans="3:6" x14ac:dyDescent="0.25">
      <c r="C153" s="752"/>
      <c r="D153" s="752"/>
      <c r="E153" s="757"/>
      <c r="F153" s="759">
        <v>2163</v>
      </c>
    </row>
    <row r="154" spans="3:6" x14ac:dyDescent="0.25">
      <c r="C154" s="752"/>
      <c r="D154" s="752"/>
      <c r="E154" s="757"/>
      <c r="F154" s="759" t="s">
        <v>937</v>
      </c>
    </row>
    <row r="155" spans="3:6" x14ac:dyDescent="0.25">
      <c r="C155" s="752"/>
      <c r="D155" s="752"/>
      <c r="E155" s="757"/>
      <c r="F155" s="757" t="s">
        <v>938</v>
      </c>
    </row>
    <row r="156" spans="3:6" x14ac:dyDescent="0.25">
      <c r="C156" s="752"/>
      <c r="D156" s="752"/>
      <c r="E156" s="757"/>
      <c r="F156" s="757" t="s">
        <v>939</v>
      </c>
    </row>
    <row r="157" spans="3:6" x14ac:dyDescent="0.25">
      <c r="C157" s="752"/>
      <c r="D157" s="752"/>
      <c r="E157" s="757"/>
      <c r="F157" s="757" t="s">
        <v>940</v>
      </c>
    </row>
    <row r="158" spans="3:6" x14ac:dyDescent="0.25">
      <c r="C158" s="752"/>
      <c r="D158" s="752"/>
      <c r="E158" s="757"/>
      <c r="F158" s="757" t="s">
        <v>941</v>
      </c>
    </row>
    <row r="159" spans="3:6" x14ac:dyDescent="0.25">
      <c r="C159" s="752"/>
      <c r="D159" s="752"/>
      <c r="E159" s="757"/>
      <c r="F159" s="757" t="s">
        <v>942</v>
      </c>
    </row>
    <row r="160" spans="3:6" x14ac:dyDescent="0.25">
      <c r="C160" s="752"/>
      <c r="D160" s="752"/>
      <c r="E160" s="757"/>
      <c r="F160" s="757" t="s">
        <v>943</v>
      </c>
    </row>
    <row r="161" spans="3:6" x14ac:dyDescent="0.25">
      <c r="C161" s="752"/>
      <c r="D161" s="752"/>
      <c r="E161" s="757"/>
      <c r="F161" s="757" t="s">
        <v>944</v>
      </c>
    </row>
    <row r="162" spans="3:6" x14ac:dyDescent="0.25">
      <c r="C162" s="752"/>
      <c r="D162" s="752"/>
      <c r="E162" s="757"/>
      <c r="F162" s="757"/>
    </row>
    <row r="163" spans="3:6" x14ac:dyDescent="0.25">
      <c r="C163" s="752"/>
      <c r="D163" s="752"/>
      <c r="E163" s="757" t="s">
        <v>945</v>
      </c>
      <c r="F163" s="757" t="s">
        <v>933</v>
      </c>
    </row>
    <row r="164" spans="3:6" x14ac:dyDescent="0.25">
      <c r="C164" s="752"/>
      <c r="D164" s="752"/>
      <c r="E164" s="757" t="s">
        <v>946</v>
      </c>
      <c r="F164" s="757" t="s">
        <v>213</v>
      </c>
    </row>
    <row r="165" spans="3:6" x14ac:dyDescent="0.25">
      <c r="C165" s="752"/>
      <c r="D165" s="752"/>
      <c r="E165" s="753"/>
      <c r="F165" s="757" t="s">
        <v>947</v>
      </c>
    </row>
    <row r="166" spans="3:6" x14ac:dyDescent="0.25">
      <c r="C166" s="752"/>
      <c r="D166" s="752"/>
      <c r="E166" s="757"/>
      <c r="F166" s="757" t="s">
        <v>937</v>
      </c>
    </row>
    <row r="167" spans="3:6" x14ac:dyDescent="0.25">
      <c r="C167" s="752"/>
      <c r="D167" s="752"/>
      <c r="E167" s="757"/>
      <c r="F167" s="757" t="s">
        <v>772</v>
      </c>
    </row>
    <row r="168" spans="3:6" x14ac:dyDescent="0.25">
      <c r="C168" s="752"/>
      <c r="D168" s="752"/>
      <c r="E168" s="757"/>
      <c r="F168" s="757" t="s">
        <v>948</v>
      </c>
    </row>
    <row r="169" spans="3:6" x14ac:dyDescent="0.25">
      <c r="C169" s="752"/>
      <c r="D169" s="752"/>
      <c r="E169" s="757"/>
      <c r="F169" s="757" t="s">
        <v>949</v>
      </c>
    </row>
    <row r="170" spans="3:6" x14ac:dyDescent="0.25">
      <c r="C170" s="752"/>
      <c r="D170" s="752"/>
      <c r="E170" s="757"/>
      <c r="F170" s="757"/>
    </row>
    <row r="171" spans="3:6" x14ac:dyDescent="0.25">
      <c r="C171" s="752"/>
      <c r="D171" s="752"/>
      <c r="E171" s="757" t="s">
        <v>950</v>
      </c>
      <c r="F171" s="755" t="s">
        <v>557</v>
      </c>
    </row>
    <row r="172" spans="3:6" x14ac:dyDescent="0.25">
      <c r="C172" s="752"/>
      <c r="D172" s="752"/>
      <c r="E172" s="757" t="s">
        <v>951</v>
      </c>
      <c r="F172" s="759" t="s">
        <v>952</v>
      </c>
    </row>
    <row r="173" spans="3:6" x14ac:dyDescent="0.25">
      <c r="C173" s="752"/>
      <c r="D173" s="752"/>
      <c r="E173" s="757"/>
      <c r="F173" s="759" t="s">
        <v>953</v>
      </c>
    </row>
    <row r="174" spans="3:6" x14ac:dyDescent="0.25">
      <c r="C174" s="752"/>
      <c r="D174" s="752"/>
      <c r="E174" s="757"/>
      <c r="F174" s="759" t="s">
        <v>954</v>
      </c>
    </row>
    <row r="175" spans="3:6" x14ac:dyDescent="0.25">
      <c r="C175" s="752"/>
      <c r="D175" s="752"/>
      <c r="E175" s="757"/>
      <c r="F175" s="759" t="s">
        <v>955</v>
      </c>
    </row>
    <row r="176" spans="3:6" x14ac:dyDescent="0.25">
      <c r="C176" s="752"/>
      <c r="D176" s="752"/>
      <c r="E176" s="757"/>
      <c r="F176" s="759" t="s">
        <v>956</v>
      </c>
    </row>
    <row r="177" spans="3:6" x14ac:dyDescent="0.25">
      <c r="C177" s="752"/>
      <c r="D177" s="752"/>
      <c r="E177" s="757"/>
      <c r="F177" s="757" t="s">
        <v>957</v>
      </c>
    </row>
    <row r="178" spans="3:6" x14ac:dyDescent="0.25">
      <c r="C178" s="752"/>
      <c r="D178" s="752"/>
      <c r="E178" s="757"/>
      <c r="F178" s="757"/>
    </row>
    <row r="179" spans="3:6" x14ac:dyDescent="0.25">
      <c r="C179" s="752"/>
      <c r="D179" s="752"/>
      <c r="E179" s="757" t="s">
        <v>958</v>
      </c>
      <c r="F179" s="757" t="s">
        <v>959</v>
      </c>
    </row>
    <row r="180" spans="3:6" x14ac:dyDescent="0.25">
      <c r="C180" s="752"/>
      <c r="D180" s="752"/>
      <c r="E180" s="757" t="s">
        <v>960</v>
      </c>
      <c r="F180" s="757" t="s">
        <v>961</v>
      </c>
    </row>
    <row r="181" spans="3:6" x14ac:dyDescent="0.25">
      <c r="C181" s="752"/>
      <c r="D181" s="752"/>
      <c r="E181" s="757"/>
      <c r="F181" s="757" t="s">
        <v>692</v>
      </c>
    </row>
    <row r="182" spans="3:6" x14ac:dyDescent="0.25">
      <c r="C182" s="752"/>
      <c r="D182" s="752"/>
      <c r="E182" s="757"/>
      <c r="F182" s="757"/>
    </row>
    <row r="183" spans="3:6" x14ac:dyDescent="0.25">
      <c r="C183" s="752"/>
      <c r="D183" s="752"/>
      <c r="E183" s="757" t="s">
        <v>962</v>
      </c>
      <c r="F183" s="755" t="s">
        <v>963</v>
      </c>
    </row>
    <row r="184" spans="3:6" x14ac:dyDescent="0.25">
      <c r="C184" s="752"/>
      <c r="D184" s="752"/>
      <c r="E184" s="757"/>
      <c r="F184" s="757" t="s">
        <v>964</v>
      </c>
    </row>
    <row r="185" spans="3:6" x14ac:dyDescent="0.25">
      <c r="C185" s="752"/>
      <c r="D185" s="752"/>
      <c r="E185" s="757"/>
      <c r="F185" s="757" t="s">
        <v>965</v>
      </c>
    </row>
    <row r="186" spans="3:6" x14ac:dyDescent="0.25">
      <c r="C186" s="752"/>
      <c r="D186" s="752"/>
      <c r="E186" s="757"/>
      <c r="F186" s="757" t="s">
        <v>966</v>
      </c>
    </row>
    <row r="187" spans="3:6" x14ac:dyDescent="0.25">
      <c r="C187" s="752"/>
      <c r="D187" s="752"/>
      <c r="E187" s="757"/>
      <c r="F187" s="760"/>
    </row>
    <row r="188" spans="3:6" x14ac:dyDescent="0.25">
      <c r="C188" s="752"/>
      <c r="D188" s="752"/>
      <c r="E188" s="757"/>
      <c r="F188" s="757"/>
    </row>
    <row r="189" spans="3:6" x14ac:dyDescent="0.25">
      <c r="C189" s="752"/>
      <c r="D189" s="752"/>
      <c r="E189" s="757" t="s">
        <v>792</v>
      </c>
      <c r="F189" s="757" t="s">
        <v>967</v>
      </c>
    </row>
    <row r="190" spans="3:6" x14ac:dyDescent="0.25">
      <c r="C190" s="752"/>
      <c r="D190" s="752"/>
      <c r="E190" s="757"/>
      <c r="F190" s="757" t="s">
        <v>968</v>
      </c>
    </row>
    <row r="191" spans="3:6" x14ac:dyDescent="0.25">
      <c r="C191" s="752"/>
      <c r="D191" s="752"/>
      <c r="E191" s="757"/>
      <c r="F191" s="757" t="s">
        <v>969</v>
      </c>
    </row>
    <row r="192" spans="3:6" x14ac:dyDescent="0.25">
      <c r="C192" s="752"/>
      <c r="D192" s="752"/>
      <c r="E192" s="757"/>
      <c r="F192" s="757" t="s">
        <v>970</v>
      </c>
    </row>
    <row r="193" spans="3:6" x14ac:dyDescent="0.25">
      <c r="C193" s="752"/>
      <c r="D193" s="752"/>
      <c r="E193" s="757"/>
      <c r="F193" s="757" t="s">
        <v>971</v>
      </c>
    </row>
    <row r="194" spans="3:6" x14ac:dyDescent="0.25">
      <c r="C194" s="752"/>
      <c r="D194" s="752"/>
      <c r="E194" s="757"/>
      <c r="F194" s="757" t="s">
        <v>578</v>
      </c>
    </row>
    <row r="195" spans="3:6" x14ac:dyDescent="0.25">
      <c r="C195" s="752"/>
      <c r="D195" s="752"/>
      <c r="E195" s="757"/>
      <c r="F195" s="757"/>
    </row>
    <row r="196" spans="3:6" x14ac:dyDescent="0.25">
      <c r="C196" s="752"/>
      <c r="D196" s="752"/>
      <c r="E196" s="757"/>
      <c r="F196" s="757"/>
    </row>
    <row r="197" spans="3:6" x14ac:dyDescent="0.25">
      <c r="C197" s="752"/>
      <c r="D197" s="752"/>
      <c r="E197" s="757" t="s">
        <v>972</v>
      </c>
      <c r="F197" s="757" t="s">
        <v>973</v>
      </c>
    </row>
    <row r="198" spans="3:6" x14ac:dyDescent="0.25">
      <c r="C198" s="752"/>
      <c r="D198" s="752"/>
      <c r="E198" s="757"/>
      <c r="F198" s="757" t="s">
        <v>974</v>
      </c>
    </row>
    <row r="199" spans="3:6" x14ac:dyDescent="0.25">
      <c r="C199" s="752"/>
      <c r="D199" s="752"/>
      <c r="E199" s="757"/>
      <c r="F199" s="757" t="s">
        <v>975</v>
      </c>
    </row>
    <row r="200" spans="3:6" x14ac:dyDescent="0.25">
      <c r="C200" s="752"/>
      <c r="D200" s="752"/>
      <c r="E200" s="757"/>
      <c r="F200" s="757"/>
    </row>
    <row r="201" spans="3:6" x14ac:dyDescent="0.25">
      <c r="C201" s="752"/>
      <c r="D201" s="752"/>
      <c r="E201" s="757" t="s">
        <v>678</v>
      </c>
      <c r="F201" s="757" t="s">
        <v>976</v>
      </c>
    </row>
    <row r="202" spans="3:6" x14ac:dyDescent="0.25">
      <c r="C202" s="752"/>
      <c r="D202" s="752"/>
      <c r="E202" s="757" t="s">
        <v>977</v>
      </c>
      <c r="F202" s="757" t="s">
        <v>978</v>
      </c>
    </row>
    <row r="203" spans="3:6" x14ac:dyDescent="0.25">
      <c r="C203" s="752"/>
      <c r="D203" s="752"/>
      <c r="E203" s="757"/>
      <c r="F203" s="757" t="s">
        <v>979</v>
      </c>
    </row>
    <row r="204" spans="3:6" x14ac:dyDescent="0.25">
      <c r="C204" s="752"/>
      <c r="D204" s="752"/>
      <c r="E204" s="757"/>
      <c r="F204" s="757" t="s">
        <v>980</v>
      </c>
    </row>
    <row r="205" spans="3:6" x14ac:dyDescent="0.25">
      <c r="C205" s="752"/>
      <c r="D205" s="752"/>
      <c r="E205" s="757"/>
      <c r="F205" s="757" t="s">
        <v>981</v>
      </c>
    </row>
    <row r="206" spans="3:6" x14ac:dyDescent="0.25">
      <c r="C206" s="752"/>
      <c r="D206" s="752"/>
      <c r="E206" s="757"/>
      <c r="F206" s="757" t="s">
        <v>982</v>
      </c>
    </row>
    <row r="207" spans="3:6" x14ac:dyDescent="0.25">
      <c r="C207" s="752"/>
      <c r="D207" s="752"/>
      <c r="E207" s="757"/>
      <c r="F207" s="757" t="s">
        <v>983</v>
      </c>
    </row>
    <row r="208" spans="3:6" x14ac:dyDescent="0.25">
      <c r="C208" s="752"/>
      <c r="D208" s="752"/>
      <c r="E208" s="757"/>
      <c r="F208" s="757" t="s">
        <v>984</v>
      </c>
    </row>
    <row r="209" spans="3:6" x14ac:dyDescent="0.25">
      <c r="C209" s="752"/>
      <c r="D209" s="752"/>
      <c r="E209" s="757"/>
      <c r="F209" s="757" t="s">
        <v>985</v>
      </c>
    </row>
    <row r="210" spans="3:6" x14ac:dyDescent="0.25">
      <c r="C210" s="752"/>
      <c r="D210" s="752"/>
      <c r="E210" s="757"/>
      <c r="F210" s="757" t="s">
        <v>986</v>
      </c>
    </row>
    <row r="211" spans="3:6" x14ac:dyDescent="0.25">
      <c r="C211" s="752"/>
      <c r="D211" s="752"/>
      <c r="E211" s="757"/>
      <c r="F211" s="757" t="s">
        <v>987</v>
      </c>
    </row>
    <row r="212" spans="3:6" x14ac:dyDescent="0.25">
      <c r="C212" s="752"/>
      <c r="D212" s="752"/>
      <c r="E212" s="757"/>
      <c r="F212" s="757" t="s">
        <v>988</v>
      </c>
    </row>
    <row r="213" spans="3:6" x14ac:dyDescent="0.25">
      <c r="C213" s="752"/>
      <c r="D213" s="752"/>
      <c r="E213" s="757"/>
      <c r="F213" s="757" t="s">
        <v>989</v>
      </c>
    </row>
    <row r="214" spans="3:6" x14ac:dyDescent="0.25">
      <c r="C214" s="752"/>
      <c r="D214" s="752"/>
      <c r="E214" s="757"/>
      <c r="F214" s="757" t="s">
        <v>990</v>
      </c>
    </row>
    <row r="215" spans="3:6" x14ac:dyDescent="0.25">
      <c r="C215" s="752"/>
      <c r="D215" s="752"/>
      <c r="E215" s="757"/>
      <c r="F215" s="757"/>
    </row>
    <row r="216" spans="3:6" x14ac:dyDescent="0.25">
      <c r="C216" s="752"/>
      <c r="D216" s="752"/>
      <c r="E216" s="757" t="s">
        <v>799</v>
      </c>
      <c r="F216" s="755" t="s">
        <v>561</v>
      </c>
    </row>
    <row r="217" spans="3:6" x14ac:dyDescent="0.25">
      <c r="C217" s="752"/>
      <c r="D217" s="752"/>
      <c r="E217" s="757" t="s">
        <v>800</v>
      </c>
      <c r="F217" s="757" t="s">
        <v>991</v>
      </c>
    </row>
    <row r="218" spans="3:6" x14ac:dyDescent="0.25">
      <c r="C218" s="752"/>
      <c r="D218" s="752"/>
      <c r="E218" s="757"/>
      <c r="F218" s="757" t="s">
        <v>992</v>
      </c>
    </row>
    <row r="219" spans="3:6" x14ac:dyDescent="0.25">
      <c r="C219" s="752"/>
      <c r="D219" s="752"/>
      <c r="E219" s="757"/>
      <c r="F219" s="757" t="s">
        <v>993</v>
      </c>
    </row>
    <row r="220" spans="3:6" x14ac:dyDescent="0.25">
      <c r="C220" s="752"/>
      <c r="D220" s="752"/>
      <c r="E220" s="757"/>
      <c r="F220" s="757"/>
    </row>
    <row r="221" spans="3:6" x14ac:dyDescent="0.25">
      <c r="C221" s="752"/>
      <c r="D221" s="752"/>
      <c r="E221" s="757" t="s">
        <v>994</v>
      </c>
      <c r="F221" s="757" t="s">
        <v>995</v>
      </c>
    </row>
    <row r="222" spans="3:6" x14ac:dyDescent="0.25">
      <c r="C222" s="752"/>
      <c r="D222" s="752"/>
      <c r="E222" s="757" t="s">
        <v>996</v>
      </c>
      <c r="F222" s="757" t="s">
        <v>997</v>
      </c>
    </row>
    <row r="223" spans="3:6" x14ac:dyDescent="0.25">
      <c r="C223" s="752"/>
      <c r="D223" s="752"/>
      <c r="E223" s="757"/>
      <c r="F223" s="757" t="s">
        <v>931</v>
      </c>
    </row>
    <row r="224" spans="3:6" x14ac:dyDescent="0.25">
      <c r="C224" s="752"/>
      <c r="D224" s="752"/>
      <c r="E224" s="757"/>
      <c r="F224" s="757"/>
    </row>
    <row r="225" spans="3:6" x14ac:dyDescent="0.25">
      <c r="C225" s="752"/>
      <c r="D225" s="752"/>
      <c r="E225" s="757" t="s">
        <v>998</v>
      </c>
      <c r="F225" s="757" t="s">
        <v>999</v>
      </c>
    </row>
    <row r="226" spans="3:6" x14ac:dyDescent="0.25">
      <c r="C226" s="752"/>
      <c r="D226" s="752"/>
      <c r="E226" s="757" t="s">
        <v>1000</v>
      </c>
      <c r="F226" s="757" t="s">
        <v>997</v>
      </c>
    </row>
    <row r="227" spans="3:6" x14ac:dyDescent="0.25">
      <c r="C227" s="752"/>
      <c r="D227" s="752"/>
      <c r="E227" s="757"/>
      <c r="F227" s="757" t="s">
        <v>931</v>
      </c>
    </row>
    <row r="228" spans="3:6" x14ac:dyDescent="0.25">
      <c r="C228" s="752"/>
      <c r="D228" s="752"/>
      <c r="E228" s="757"/>
      <c r="F228" s="757"/>
    </row>
    <row r="229" spans="3:6" x14ac:dyDescent="0.25">
      <c r="C229" s="752"/>
      <c r="D229" s="752"/>
      <c r="E229" s="757" t="s">
        <v>687</v>
      </c>
      <c r="F229" s="757" t="s">
        <v>597</v>
      </c>
    </row>
    <row r="230" spans="3:6" x14ac:dyDescent="0.25">
      <c r="C230" s="752"/>
      <c r="D230" s="752"/>
      <c r="E230" s="757" t="s">
        <v>1001</v>
      </c>
      <c r="F230" s="757" t="s">
        <v>1002</v>
      </c>
    </row>
    <row r="231" spans="3:6" x14ac:dyDescent="0.25">
      <c r="C231" s="752"/>
      <c r="D231" s="752"/>
      <c r="E231" s="753"/>
      <c r="F231" s="757" t="s">
        <v>1003</v>
      </c>
    </row>
    <row r="232" spans="3:6" x14ac:dyDescent="0.25">
      <c r="C232" s="752"/>
      <c r="D232" s="752"/>
      <c r="E232" s="757"/>
      <c r="F232" s="755" t="s">
        <v>1004</v>
      </c>
    </row>
    <row r="233" spans="3:6" x14ac:dyDescent="0.25">
      <c r="C233" s="752"/>
      <c r="D233" s="752"/>
      <c r="E233" s="757"/>
      <c r="F233" s="755" t="s">
        <v>1005</v>
      </c>
    </row>
    <row r="234" spans="3:6" x14ac:dyDescent="0.25">
      <c r="C234" s="752"/>
      <c r="D234" s="752"/>
      <c r="E234" s="757"/>
      <c r="F234" s="757"/>
    </row>
    <row r="235" spans="3:6" x14ac:dyDescent="0.25">
      <c r="C235" s="752"/>
      <c r="D235" s="752"/>
      <c r="E235" s="757" t="s">
        <v>687</v>
      </c>
      <c r="F235" s="757" t="s">
        <v>598</v>
      </c>
    </row>
    <row r="236" spans="3:6" x14ac:dyDescent="0.25">
      <c r="C236" s="752"/>
      <c r="D236" s="752"/>
      <c r="E236" s="757" t="s">
        <v>1006</v>
      </c>
      <c r="F236" s="757" t="s">
        <v>1007</v>
      </c>
    </row>
    <row r="237" spans="3:6" x14ac:dyDescent="0.25">
      <c r="C237" s="752"/>
      <c r="D237" s="752"/>
      <c r="E237" s="753"/>
      <c r="F237" s="757" t="s">
        <v>1008</v>
      </c>
    </row>
    <row r="238" spans="3:6" x14ac:dyDescent="0.25">
      <c r="C238" s="752"/>
      <c r="D238" s="752"/>
      <c r="E238" s="757"/>
      <c r="F238" s="757" t="s">
        <v>1009</v>
      </c>
    </row>
    <row r="239" spans="3:6" x14ac:dyDescent="0.25">
      <c r="C239" s="752"/>
      <c r="D239" s="752"/>
      <c r="E239" s="757"/>
      <c r="F239" s="757" t="s">
        <v>1010</v>
      </c>
    </row>
    <row r="240" spans="3:6" x14ac:dyDescent="0.25">
      <c r="C240" s="752"/>
      <c r="D240" s="752"/>
      <c r="E240" s="757"/>
      <c r="F240" s="757" t="s">
        <v>1011</v>
      </c>
    </row>
    <row r="241" spans="3:6" x14ac:dyDescent="0.25">
      <c r="C241" s="752"/>
      <c r="D241" s="752"/>
      <c r="E241" s="757"/>
      <c r="F241" s="757" t="s">
        <v>1012</v>
      </c>
    </row>
    <row r="242" spans="3:6" x14ac:dyDescent="0.25">
      <c r="C242" s="752"/>
      <c r="D242" s="752"/>
      <c r="E242" s="757"/>
      <c r="F242" s="757" t="s">
        <v>1013</v>
      </c>
    </row>
    <row r="243" spans="3:6" x14ac:dyDescent="0.25">
      <c r="C243" s="752"/>
      <c r="D243" s="752"/>
      <c r="E243" s="757"/>
      <c r="F243" s="757" t="s">
        <v>1014</v>
      </c>
    </row>
    <row r="244" spans="3:6" x14ac:dyDescent="0.25">
      <c r="C244" s="752"/>
      <c r="D244" s="752"/>
      <c r="E244" s="757"/>
      <c r="F244" s="757" t="s">
        <v>1015</v>
      </c>
    </row>
    <row r="245" spans="3:6" x14ac:dyDescent="0.25">
      <c r="C245" s="752"/>
      <c r="D245" s="752"/>
      <c r="E245" s="757"/>
      <c r="F245" s="757" t="s">
        <v>1016</v>
      </c>
    </row>
    <row r="246" spans="3:6" x14ac:dyDescent="0.25">
      <c r="C246" s="752"/>
      <c r="D246" s="752"/>
      <c r="E246" s="757"/>
      <c r="F246" s="757" t="s">
        <v>1017</v>
      </c>
    </row>
    <row r="247" spans="3:6" x14ac:dyDescent="0.25">
      <c r="C247" s="752"/>
      <c r="D247" s="752"/>
      <c r="E247" s="757"/>
      <c r="F247" s="757" t="s">
        <v>1018</v>
      </c>
    </row>
    <row r="248" spans="3:6" x14ac:dyDescent="0.25">
      <c r="C248" s="752"/>
      <c r="D248" s="752"/>
      <c r="E248" s="757"/>
      <c r="F248" s="757" t="s">
        <v>1019</v>
      </c>
    </row>
    <row r="249" spans="3:6" x14ac:dyDescent="0.25">
      <c r="C249" s="752"/>
      <c r="D249" s="752"/>
      <c r="E249" s="757"/>
      <c r="F249" s="757" t="s">
        <v>1020</v>
      </c>
    </row>
    <row r="250" spans="3:6" x14ac:dyDescent="0.25">
      <c r="C250" s="752"/>
      <c r="D250" s="752"/>
      <c r="E250" s="757"/>
      <c r="F250" s="757" t="s">
        <v>1021</v>
      </c>
    </row>
    <row r="251" spans="3:6" x14ac:dyDescent="0.25">
      <c r="C251" s="752"/>
      <c r="D251" s="752"/>
      <c r="E251" s="757"/>
      <c r="F251" s="757" t="s">
        <v>1022</v>
      </c>
    </row>
    <row r="252" spans="3:6" x14ac:dyDescent="0.25">
      <c r="C252" s="752"/>
      <c r="D252" s="752"/>
      <c r="E252" s="757"/>
      <c r="F252" s="757" t="s">
        <v>1023</v>
      </c>
    </row>
    <row r="253" spans="3:6" x14ac:dyDescent="0.25">
      <c r="C253" s="752"/>
      <c r="D253" s="752"/>
      <c r="E253" s="757"/>
      <c r="F253" s="757" t="s">
        <v>1024</v>
      </c>
    </row>
    <row r="254" spans="3:6" x14ac:dyDescent="0.25">
      <c r="C254" s="752"/>
      <c r="D254" s="752"/>
      <c r="E254" s="757"/>
      <c r="F254" s="757" t="s">
        <v>1025</v>
      </c>
    </row>
    <row r="255" spans="3:6" x14ac:dyDescent="0.25">
      <c r="C255" s="752"/>
      <c r="D255" s="752"/>
      <c r="E255" s="757"/>
      <c r="F255" s="757" t="s">
        <v>1026</v>
      </c>
    </row>
    <row r="256" spans="3:6" x14ac:dyDescent="0.25">
      <c r="C256" s="752"/>
      <c r="D256" s="752"/>
      <c r="E256" s="757"/>
      <c r="F256" s="757" t="s">
        <v>1027</v>
      </c>
    </row>
    <row r="257" spans="3:6" x14ac:dyDescent="0.25">
      <c r="C257" s="752"/>
      <c r="D257" s="752"/>
      <c r="E257" s="757"/>
      <c r="F257" s="757" t="s">
        <v>1028</v>
      </c>
    </row>
    <row r="258" spans="3:6" x14ac:dyDescent="0.25">
      <c r="C258" s="752"/>
      <c r="D258" s="752"/>
      <c r="E258" s="757"/>
      <c r="F258" s="757" t="s">
        <v>1029</v>
      </c>
    </row>
    <row r="259" spans="3:6" x14ac:dyDescent="0.25">
      <c r="C259" s="752"/>
      <c r="D259" s="752"/>
      <c r="E259" s="757"/>
      <c r="F259" s="757" t="s">
        <v>1030</v>
      </c>
    </row>
    <row r="260" spans="3:6" x14ac:dyDescent="0.25">
      <c r="C260" s="752"/>
      <c r="D260" s="752"/>
      <c r="E260" s="757"/>
      <c r="F260" s="757" t="s">
        <v>1031</v>
      </c>
    </row>
    <row r="261" spans="3:6" x14ac:dyDescent="0.25">
      <c r="C261" s="752"/>
      <c r="D261" s="752"/>
      <c r="E261" s="757"/>
      <c r="F261" s="757" t="s">
        <v>1032</v>
      </c>
    </row>
    <row r="262" spans="3:6" x14ac:dyDescent="0.25">
      <c r="C262" s="752"/>
      <c r="D262" s="752"/>
      <c r="E262" s="757"/>
      <c r="F262" s="757" t="s">
        <v>1033</v>
      </c>
    </row>
    <row r="263" spans="3:6" x14ac:dyDescent="0.25">
      <c r="C263" s="752"/>
      <c r="D263" s="752"/>
      <c r="E263" s="757"/>
      <c r="F263" s="757" t="s">
        <v>1034</v>
      </c>
    </row>
    <row r="264" spans="3:6" x14ac:dyDescent="0.25">
      <c r="C264" s="752"/>
      <c r="D264" s="752"/>
      <c r="E264" s="757"/>
      <c r="F264" s="757" t="s">
        <v>1035</v>
      </c>
    </row>
    <row r="265" spans="3:6" x14ac:dyDescent="0.25">
      <c r="C265" s="752"/>
      <c r="D265" s="752"/>
      <c r="E265" s="757"/>
      <c r="F265" s="757" t="s">
        <v>1036</v>
      </c>
    </row>
    <row r="266" spans="3:6" x14ac:dyDescent="0.25">
      <c r="C266" s="752"/>
      <c r="D266" s="752"/>
      <c r="E266" s="757"/>
      <c r="F266" s="757" t="s">
        <v>1037</v>
      </c>
    </row>
    <row r="267" spans="3:6" x14ac:dyDescent="0.25">
      <c r="C267" s="752"/>
      <c r="D267" s="752"/>
      <c r="E267" s="757"/>
      <c r="F267" s="757" t="s">
        <v>1038</v>
      </c>
    </row>
    <row r="268" spans="3:6" x14ac:dyDescent="0.25">
      <c r="C268" s="752"/>
      <c r="D268" s="752"/>
      <c r="E268" s="757"/>
      <c r="F268" s="757" t="s">
        <v>1039</v>
      </c>
    </row>
    <row r="269" spans="3:6" x14ac:dyDescent="0.25">
      <c r="C269" s="752"/>
      <c r="D269" s="752"/>
      <c r="E269" s="757"/>
      <c r="F269" s="757" t="s">
        <v>1040</v>
      </c>
    </row>
    <row r="270" spans="3:6" x14ac:dyDescent="0.25">
      <c r="C270" s="752"/>
      <c r="D270" s="752"/>
      <c r="E270" s="757"/>
      <c r="F270" s="757" t="s">
        <v>1041</v>
      </c>
    </row>
    <row r="271" spans="3:6" x14ac:dyDescent="0.25">
      <c r="C271" s="752"/>
      <c r="D271" s="752"/>
      <c r="E271" s="757"/>
      <c r="F271" s="757" t="s">
        <v>1042</v>
      </c>
    </row>
    <row r="272" spans="3:6" x14ac:dyDescent="0.25">
      <c r="C272" s="752"/>
      <c r="D272" s="752"/>
      <c r="E272" s="757"/>
      <c r="F272" s="757" t="s">
        <v>1043</v>
      </c>
    </row>
    <row r="273" spans="3:6" x14ac:dyDescent="0.25">
      <c r="C273" s="752"/>
      <c r="D273" s="752"/>
      <c r="E273" s="757"/>
      <c r="F273" s="757" t="s">
        <v>1044</v>
      </c>
    </row>
    <row r="274" spans="3:6" x14ac:dyDescent="0.25">
      <c r="C274" s="752"/>
      <c r="D274" s="752"/>
      <c r="E274" s="757"/>
      <c r="F274" s="757" t="s">
        <v>865</v>
      </c>
    </row>
    <row r="275" spans="3:6" x14ac:dyDescent="0.25">
      <c r="C275" s="752"/>
      <c r="D275" s="752"/>
      <c r="E275" s="757"/>
      <c r="F275" s="757" t="s">
        <v>1045</v>
      </c>
    </row>
    <row r="276" spans="3:6" x14ac:dyDescent="0.25">
      <c r="C276" s="752"/>
      <c r="D276" s="752"/>
      <c r="E276" s="757"/>
      <c r="F276" s="757" t="s">
        <v>1046</v>
      </c>
    </row>
    <row r="277" spans="3:6" x14ac:dyDescent="0.25">
      <c r="C277" s="752"/>
      <c r="D277" s="752"/>
      <c r="E277" s="757"/>
      <c r="F277" s="757" t="s">
        <v>1047</v>
      </c>
    </row>
    <row r="278" spans="3:6" x14ac:dyDescent="0.25">
      <c r="C278" s="752"/>
      <c r="D278" s="752"/>
      <c r="E278" s="757"/>
      <c r="F278" s="757" t="s">
        <v>1048</v>
      </c>
    </row>
    <row r="279" spans="3:6" x14ac:dyDescent="0.25">
      <c r="C279" s="752"/>
      <c r="D279" s="752"/>
      <c r="E279" s="757"/>
      <c r="F279" s="757" t="s">
        <v>1049</v>
      </c>
    </row>
    <row r="280" spans="3:6" x14ac:dyDescent="0.25">
      <c r="C280" s="752"/>
      <c r="D280" s="752"/>
      <c r="E280" s="757"/>
      <c r="F280" s="757" t="s">
        <v>1050</v>
      </c>
    </row>
    <row r="281" spans="3:6" x14ac:dyDescent="0.25">
      <c r="C281" s="752"/>
      <c r="D281" s="752"/>
      <c r="E281" s="757"/>
      <c r="F281" s="757" t="s">
        <v>1051</v>
      </c>
    </row>
    <row r="282" spans="3:6" x14ac:dyDescent="0.25">
      <c r="C282" s="752"/>
      <c r="D282" s="752"/>
      <c r="E282" s="757"/>
      <c r="F282" s="757" t="s">
        <v>868</v>
      </c>
    </row>
    <row r="283" spans="3:6" x14ac:dyDescent="0.25">
      <c r="C283" s="752"/>
      <c r="D283" s="752"/>
      <c r="E283" s="757"/>
      <c r="F283" s="757" t="s">
        <v>1052</v>
      </c>
    </row>
    <row r="284" spans="3:6" x14ac:dyDescent="0.25">
      <c r="C284" s="752"/>
      <c r="D284" s="752"/>
      <c r="E284" s="757"/>
      <c r="F284" s="757" t="s">
        <v>1053</v>
      </c>
    </row>
    <row r="285" spans="3:6" x14ac:dyDescent="0.25">
      <c r="C285" s="752"/>
      <c r="D285" s="752"/>
      <c r="E285" s="757"/>
      <c r="F285" s="757"/>
    </row>
    <row r="286" spans="3:6" x14ac:dyDescent="0.25">
      <c r="C286" s="752"/>
      <c r="D286" s="752"/>
      <c r="E286" s="757" t="s">
        <v>1060</v>
      </c>
      <c r="F286" s="755" t="s">
        <v>561</v>
      </c>
    </row>
    <row r="287" spans="3:6" x14ac:dyDescent="0.25">
      <c r="C287" s="752"/>
      <c r="D287" s="752"/>
      <c r="E287" s="757"/>
      <c r="F287" s="757" t="s">
        <v>1054</v>
      </c>
    </row>
    <row r="288" spans="3:6" x14ac:dyDescent="0.25">
      <c r="C288" s="752"/>
      <c r="D288" s="752"/>
      <c r="E288" s="757"/>
      <c r="F288" s="757" t="s">
        <v>1055</v>
      </c>
    </row>
    <row r="289" spans="3:6" x14ac:dyDescent="0.25">
      <c r="C289" s="752"/>
      <c r="D289" s="752"/>
      <c r="E289" s="757"/>
      <c r="F289" s="757" t="s">
        <v>1056</v>
      </c>
    </row>
    <row r="290" spans="3:6" x14ac:dyDescent="0.25">
      <c r="C290" s="752"/>
      <c r="D290" s="752"/>
      <c r="E290" s="757"/>
      <c r="F290" s="757"/>
    </row>
    <row r="291" spans="3:6" x14ac:dyDescent="0.25">
      <c r="C291" s="752"/>
      <c r="D291" s="752"/>
      <c r="E291" s="755" t="s">
        <v>1057</v>
      </c>
      <c r="F291" s="755" t="s">
        <v>1058</v>
      </c>
    </row>
    <row r="292" spans="3:6" x14ac:dyDescent="0.25">
      <c r="C292" s="752"/>
      <c r="D292" s="752"/>
      <c r="E292" s="753"/>
      <c r="F292" s="755" t="s">
        <v>1059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886c73ab09eeb714c03c25c5e45963c5">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14dfbd3ba1cc6ec88b55c9d6abe23fb6"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02B9275B-BA54-4A6E-A796-4AB5EB5F1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88124F-3F6E-46A5-ADA0-2AB11E915610}">
  <ds:schemaRefs>
    <ds:schemaRef ds:uri="http://schemas.microsoft.com/sharepoint/v3"/>
    <ds:schemaRef ds:uri="63979cc8-f6b2-4ee6-8bed-630b6048d169"/>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9db5950-9a61-4c09-b3e2-fe6d472fba0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98</vt:i4>
      </vt:variant>
    </vt:vector>
  </HeadingPairs>
  <TitlesOfParts>
    <vt:vector size="154" baseType="lpstr">
      <vt:lpstr>PopTypes_Dropdown</vt:lpstr>
      <vt:lpstr>Definitions</vt:lpstr>
      <vt:lpstr>1A</vt:lpstr>
      <vt:lpstr>1B - 4%</vt:lpstr>
      <vt:lpstr>1B - 9%</vt:lpstr>
      <vt:lpstr>2A - 4%</vt:lpstr>
      <vt:lpstr>2A - 9%</vt:lpstr>
      <vt:lpstr>2B- 4%</vt:lpstr>
      <vt:lpstr>2B- 9%</vt:lpstr>
      <vt:lpstr>2C - 4%</vt:lpstr>
      <vt:lpstr>ESDS-Lookup-Table</vt:lpstr>
      <vt:lpstr>2C - 9%</vt:lpstr>
      <vt:lpstr>3 - 4%</vt:lpstr>
      <vt:lpstr>3- 9%</vt:lpstr>
      <vt:lpstr>4</vt:lpstr>
      <vt:lpstr>5</vt:lpstr>
      <vt:lpstr>6A(ROLLUP)</vt:lpstr>
      <vt:lpstr>6A - 4%</vt:lpstr>
      <vt:lpstr>6B - 4%</vt:lpstr>
      <vt:lpstr>6C- 4%</vt:lpstr>
      <vt:lpstr>6D- 4%</vt:lpstr>
      <vt:lpstr>6E -4%</vt:lpstr>
      <vt:lpstr>6A - 9%</vt:lpstr>
      <vt:lpstr>6B- 9%</vt:lpstr>
      <vt:lpstr>6C -9%</vt:lpstr>
      <vt:lpstr>6D - 9%</vt:lpstr>
      <vt:lpstr>6E- 9%</vt:lpstr>
      <vt:lpstr>7A (ROLLUP)</vt:lpstr>
      <vt:lpstr>7A - 4%</vt:lpstr>
      <vt:lpstr>7A - 9%</vt:lpstr>
      <vt:lpstr>7B- 4%</vt:lpstr>
      <vt:lpstr>7B- 9% (2)</vt:lpstr>
      <vt:lpstr>8A - 4%</vt:lpstr>
      <vt:lpstr>8B - 4%</vt:lpstr>
      <vt:lpstr>8C - 4%</vt:lpstr>
      <vt:lpstr>8D - 4%</vt:lpstr>
      <vt:lpstr>8A - 9%</vt:lpstr>
      <vt:lpstr>8B - 9%</vt:lpstr>
      <vt:lpstr>8C - 9%</vt:lpstr>
      <vt:lpstr>8D - 9%</vt:lpstr>
      <vt:lpstr>8E ROLLUP</vt:lpstr>
      <vt:lpstr>8E- 4%</vt:lpstr>
      <vt:lpstr>8E 9%</vt:lpstr>
      <vt:lpstr>8E ROLLUP (2)</vt:lpstr>
      <vt:lpstr>8E(2)- 4%</vt:lpstr>
      <vt:lpstr>8E(2)- 9%</vt:lpstr>
      <vt:lpstr>8F</vt:lpstr>
      <vt:lpstr>9A</vt:lpstr>
      <vt:lpstr>9B</vt:lpstr>
      <vt:lpstr>9C</vt:lpstr>
      <vt:lpstr>9D</vt:lpstr>
      <vt:lpstr>9E</vt:lpstr>
      <vt:lpstr>11A - 9%</vt:lpstr>
      <vt:lpstr>11B- 4%</vt:lpstr>
      <vt:lpstr>HTF ROLLUP</vt:lpstr>
      <vt:lpstr>LIHTC_Dropdowns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Incomes_4_Perc</vt:lpstr>
      <vt:lpstr>job_centers</vt:lpstr>
      <vt:lpstr>KC_HTF</vt:lpstr>
      <vt:lpstr>KC_only</vt:lpstr>
      <vt:lpstr>KC_OppArea</vt:lpstr>
      <vt:lpstr>leveraging_public_resources_10</vt:lpstr>
      <vt:lpstr>leveraging_taxable_bonds_7</vt:lpstr>
      <vt:lpstr>LIH_Commit</vt:lpstr>
      <vt:lpstr>LIH40percent</vt:lpstr>
      <vt:lpstr>LIH50percent</vt:lpstr>
      <vt:lpstr>LIH60percent</vt:lpstr>
      <vt:lpstr>local_funding_counties</vt:lpstr>
      <vt:lpstr>local_funding_sources</vt:lpstr>
      <vt:lpstr>local_funding_types</vt:lpstr>
      <vt:lpstr>Location_eff</vt:lpstr>
      <vt:lpstr>lower_income</vt:lpstr>
      <vt:lpstr>NP_Sponsor</vt:lpstr>
      <vt:lpstr>NP_Sponsor_4_Perc</vt:lpstr>
      <vt:lpstr>PBRA_units</vt:lpstr>
      <vt:lpstr>Population_Types</vt:lpstr>
      <vt:lpstr>'11A - 9%'!Print_Area</vt:lpstr>
      <vt:lpstr>'11B- 4%'!Print_Area</vt:lpstr>
      <vt:lpstr>'1A'!Print_Area</vt:lpstr>
      <vt:lpstr>'1B - 4%'!Print_Area</vt:lpstr>
      <vt:lpstr>'1B - 9%'!Print_Area</vt:lpstr>
      <vt:lpstr>'2A - 4%'!Print_Area</vt:lpstr>
      <vt:lpstr>'2A - 9%'!Print_Area</vt:lpstr>
      <vt:lpstr>'2B- 4%'!Print_Area</vt:lpstr>
      <vt:lpstr>'2B- 9%'!Print_Area</vt:lpstr>
      <vt:lpstr>'2C - 4%'!Print_Area</vt:lpstr>
      <vt:lpstr>'2C - 9%'!Print_Area</vt:lpstr>
      <vt:lpstr>'3 - 4%'!Print_Area</vt:lpstr>
      <vt:lpstr>'3- 9%'!Print_Area</vt:lpstr>
      <vt:lpstr>'4'!Print_Area</vt:lpstr>
      <vt:lpstr>'5'!Print_Area</vt:lpstr>
      <vt:lpstr>'6A - 4%'!Print_Area</vt:lpstr>
      <vt:lpstr>'6A - 9%'!Print_Area</vt:lpstr>
      <vt:lpstr>'6A(ROLLUP)'!Print_Area</vt:lpstr>
      <vt:lpstr>'6B - 4%'!Print_Area</vt:lpstr>
      <vt:lpstr>'6B- 9%'!Print_Area</vt:lpstr>
      <vt:lpstr>'6C- 4%'!Print_Area</vt:lpstr>
      <vt:lpstr>'6C -9%'!Print_Area</vt:lpstr>
      <vt:lpstr>'6D - 9%'!Print_Area</vt:lpstr>
      <vt:lpstr>'6D- 4%'!Print_Area</vt:lpstr>
      <vt:lpstr>'6E -4%'!Print_Area</vt:lpstr>
      <vt:lpstr>'6E- 9%'!Print_Area</vt:lpstr>
      <vt:lpstr>'7A - 4%'!Print_Area</vt:lpstr>
      <vt:lpstr>'7A - 9%'!Print_Area</vt:lpstr>
      <vt:lpstr>'7A (ROLLUP)'!Print_Area</vt:lpstr>
      <vt:lpstr>'7B- 4%'!Print_Area</vt:lpstr>
      <vt:lpstr>'7B- 9% (2)'!Print_Area</vt:lpstr>
      <vt:lpstr>'8A - 4%'!Print_Area</vt:lpstr>
      <vt:lpstr>'8A - 9%'!Print_Area</vt:lpstr>
      <vt:lpstr>'8B - 4%'!Print_Area</vt:lpstr>
      <vt:lpstr>'8B - 9%'!Print_Area</vt:lpstr>
      <vt:lpstr>'8C - 4%'!Print_Area</vt:lpstr>
      <vt:lpstr>'8C - 9%'!Print_Area</vt:lpstr>
      <vt:lpstr>'8D - 4%'!Print_Area</vt:lpstr>
      <vt:lpstr>'8D - 9%'!Print_Area</vt:lpstr>
      <vt:lpstr>'8E- 4%'!Print_Area</vt:lpstr>
      <vt:lpstr>'8E 9%'!Print_Area</vt:lpstr>
      <vt:lpstr>'8E ROLLUP'!Print_Area</vt:lpstr>
      <vt:lpstr>'8E ROLLUP (2)'!Print_Area</vt:lpstr>
      <vt:lpstr>'8E(2)- 4%'!Print_Area</vt:lpstr>
      <vt:lpstr>'8E(2)- 9%'!Print_Area</vt:lpstr>
      <vt:lpstr>'8F'!Print_Area</vt:lpstr>
      <vt:lpstr>'9A'!Print_Area</vt:lpstr>
      <vt:lpstr>'9B'!Print_Area</vt:lpstr>
      <vt:lpstr>'9C'!Print_Area</vt:lpstr>
      <vt:lpstr>'9D'!Print_Area</vt:lpstr>
      <vt:lpstr>'9E'!Print_Area</vt:lpstr>
      <vt:lpstr>Definitions!Print_Area</vt:lpstr>
      <vt:lpstr>'6A - 4%'!Print_Titles</vt:lpstr>
      <vt:lpstr>'6A - 9%'!Print_Titles</vt:lpstr>
      <vt:lpstr>'6A(ROLLUP)'!Print_Titles</vt:lpstr>
      <vt:lpstr>'6B - 4%'!Print_Titles</vt:lpstr>
      <vt:lpstr>'6B- 9%'!Print_Titles</vt:lpstr>
      <vt:lpstr>'6C- 4%'!Print_Titles</vt:lpstr>
      <vt:lpstr>'6C -9%'!Print_Titles</vt:lpstr>
      <vt:lpstr>PriorityPopulations10</vt:lpstr>
      <vt:lpstr>PriorityPopulations20</vt:lpstr>
      <vt:lpstr>Project_Based_Rental_Assistance</vt:lpstr>
      <vt:lpstr>property_type_10</vt:lpstr>
      <vt:lpstr>senior_housing_10</vt:lpstr>
      <vt:lpstr>SpecNeeds20</vt:lpstr>
      <vt:lpstr>TDC_Limit</vt:lpstr>
      <vt:lpstr>Years</vt:lpstr>
      <vt:lpstr>Years_4_Perc</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Richard Loo</cp:lastModifiedBy>
  <cp:lastPrinted>2015-09-10T17:31:06Z</cp:lastPrinted>
  <dcterms:created xsi:type="dcterms:W3CDTF">2015-05-06T15:11:33Z</dcterms:created>
  <dcterms:modified xsi:type="dcterms:W3CDTF">2015-09-14T17:23:33Z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